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tables/table3.xml" ContentType="application/vnd.openxmlformats-officedocument.spreadsheetml.table+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tables/table4.xml" ContentType="application/vnd.openxmlformats-officedocument.spreadsheetml.table+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0.xml" ContentType="application/vnd.openxmlformats-officedocument.spreadsheetml.comments+xml"/>
  <Override PartName="/xl/tables/table5.xml" ContentType="application/vnd.openxmlformats-officedocument.spreadsheetml.table+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showInkAnnotation="0"/>
  <mc:AlternateContent xmlns:mc="http://schemas.openxmlformats.org/markup-compatibility/2006">
    <mc:Choice Requires="x15">
      <x15ac:absPath xmlns:x15ac="http://schemas.microsoft.com/office/spreadsheetml/2010/11/ac" url="https://ingov-my.sharepoint.com/personal/fchiki_doe_in_gov/Documents/Projects/Title II Rewrite/"/>
    </mc:Choice>
  </mc:AlternateContent>
  <xr:revisionPtr revIDLastSave="35" documentId="8_{E06C447B-4918-4817-BC19-4BCEB4EEA8CB}" xr6:coauthVersionLast="47" xr6:coauthVersionMax="47" xr10:uidLastSave="{C4AC330E-1EAE-495D-93BF-2078B1EDE26B}"/>
  <bookViews>
    <workbookView xWindow="-28920" yWindow="-120" windowWidth="29040" windowHeight="15840" tabRatio="833" firstSheet="30" activeTab="34" xr2:uid="{00000000-000D-0000-FFFF-FFFF00000000}"/>
  </bookViews>
  <sheets>
    <sheet name="Overview" sheetId="2" r:id="rId1"/>
    <sheet name="Equitable Share" sheetId="7" r:id="rId2"/>
    <sheet name="CNA" sheetId="10" state="hidden" r:id="rId3"/>
    <sheet name="Evidence-Based Requirements" sheetId="11" state="hidden" r:id="rId4"/>
    <sheet name="Systems Alignment" sheetId="29" state="hidden" r:id="rId5"/>
    <sheet name="Allowable Uses of Funds" sheetId="9" state="hidden" r:id="rId6"/>
    <sheet name="Sheet1" sheetId="12" state="hidden" r:id="rId7"/>
    <sheet name="Nonpub Activities" sheetId="3" r:id="rId8"/>
    <sheet name="LEA Activities" sheetId="4" r:id="rId9"/>
    <sheet name="Main Budget" sheetId="1" r:id="rId10"/>
    <sheet name="Original Review" sheetId="43" r:id="rId11"/>
    <sheet name="Reimbursement Form" sheetId="13" r:id="rId12"/>
    <sheet name="Amend#1 Overview" sheetId="30" r:id="rId13"/>
    <sheet name="Amend#1 Equitable Share" sheetId="31" r:id="rId14"/>
    <sheet name="Amend#1 NPS Activities" sheetId="17" r:id="rId15"/>
    <sheet name="Amend#1 LEA Activities" sheetId="16" r:id="rId16"/>
    <sheet name="Amend#1 Main Budget" sheetId="18" r:id="rId17"/>
    <sheet name="Amend#1 Review" sheetId="44" r:id="rId18"/>
    <sheet name="Amend#1 Reimb Form" sheetId="19" r:id="rId19"/>
    <sheet name="Amend#2 Overview" sheetId="32" r:id="rId20"/>
    <sheet name="Amend#2 Equitable Share" sheetId="33" r:id="rId21"/>
    <sheet name="Amend#2 NPS Activities" sheetId="21" r:id="rId22"/>
    <sheet name="Amend#2 LEA Activities" sheetId="20" r:id="rId23"/>
    <sheet name="Amend#2 Main Budget" sheetId="22" r:id="rId24"/>
    <sheet name="Amend#2 Review" sheetId="45" r:id="rId25"/>
    <sheet name="Amend#2 Reimb Form" sheetId="23" r:id="rId26"/>
    <sheet name="Amend#3 Overview" sheetId="34" r:id="rId27"/>
    <sheet name="Amend#3 Equitable Share" sheetId="35" r:id="rId28"/>
    <sheet name="Amend#3 NPS Activities" sheetId="25" r:id="rId29"/>
    <sheet name="Amend#3 LEA Activities" sheetId="24" r:id="rId30"/>
    <sheet name="Amend#3 Main Budget" sheetId="26" r:id="rId31"/>
    <sheet name="Amend#3 Review" sheetId="46" r:id="rId32"/>
    <sheet name="Amend#3 Reimb Form" sheetId="27" r:id="rId33"/>
    <sheet name="Amend#4 Overview" sheetId="37" r:id="rId34"/>
    <sheet name="Amend#4 Equitable Share" sheetId="38" r:id="rId35"/>
    <sheet name="Amend#4 NPS Activities" sheetId="39" r:id="rId36"/>
    <sheet name="Amend#4 LEA Activities" sheetId="40" r:id="rId37"/>
    <sheet name="Amend#4 Main Budget" sheetId="41" r:id="rId38"/>
    <sheet name="Amend#4 Review" sheetId="47" r:id="rId39"/>
    <sheet name="Amend#4 Reimb Form" sheetId="42" r:id="rId40"/>
    <sheet name="Budget Category" sheetId="36" r:id="rId41"/>
    <sheet name="Allocations" sheetId="14" state="hidden" r:id="rId42"/>
    <sheet name="NPS" sheetId="28" state="hidden" r:id="rId43"/>
  </sheets>
  <externalReferences>
    <externalReference r:id="rId44"/>
  </externalReferences>
  <definedNames>
    <definedName name="Allocations">Allocations!$B$1:$L$393</definedName>
    <definedName name="allocations2021">Allocations!$A$6:$L$401</definedName>
    <definedName name="BudgetCategory" localSheetId="15">'Amend#1 LEA Activities'!$H$6:$H$62</definedName>
    <definedName name="BudgetCategory" localSheetId="22">'Amend#2 LEA Activities'!$H$6:$H$62</definedName>
    <definedName name="BudgetCategory" localSheetId="29">'Amend#3 LEA Activities'!$H$6:$H$62</definedName>
    <definedName name="BudgetCategory" localSheetId="36">'Amend#4 LEA Activities'!$H$6:$H$62</definedName>
    <definedName name="BudgetCategory" localSheetId="4">'Systems Alignment'!#REF!</definedName>
    <definedName name="BudgetCategory">'LEA Activities'!$H$6:$H$62</definedName>
    <definedName name="CORP">#REF!</definedName>
    <definedName name="ExternalData_1" localSheetId="6" hidden="1">Sheet1!$A$1:$E$32</definedName>
    <definedName name="IDAllocation">#REF!</definedName>
    <definedName name="_xlnm.Print_Area" localSheetId="18">'Amend#1 Reimb Form'!$A$1:$D$46</definedName>
    <definedName name="_xlnm.Print_Area" localSheetId="25">'Amend#2 Reimb Form'!$A$1:$D$46</definedName>
    <definedName name="_xlnm.Print_Area" localSheetId="32">'Amend#3 Reimb Form'!$A$1:$D$46</definedName>
    <definedName name="_xlnm.Print_Area" localSheetId="39">'Amend#4 Reimb Form'!$A$1:$D$46</definedName>
    <definedName name="_xlnm.Print_Area" localSheetId="11">'Reimbursement Form'!$A$1:$D$46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 i="38" l="1"/>
  <c r="J7" i="35"/>
  <c r="J7" i="33"/>
  <c r="J7" i="31"/>
  <c r="J7" i="7"/>
  <c r="D12" i="7"/>
  <c r="A7" i="14"/>
  <c r="A8" i="14"/>
  <c r="A9" i="14"/>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111" i="14"/>
  <c r="A112" i="14"/>
  <c r="A113" i="14"/>
  <c r="A114" i="14"/>
  <c r="A115" i="14"/>
  <c r="A116" i="14"/>
  <c r="A117" i="14"/>
  <c r="A118" i="14"/>
  <c r="A119" i="14"/>
  <c r="A120" i="14"/>
  <c r="A121" i="14"/>
  <c r="A122" i="14"/>
  <c r="A123" i="14"/>
  <c r="A124" i="14"/>
  <c r="A125" i="14"/>
  <c r="A126" i="14"/>
  <c r="A127" i="14"/>
  <c r="A128" i="14"/>
  <c r="A129" i="14"/>
  <c r="A130" i="14"/>
  <c r="A131" i="14"/>
  <c r="A132" i="14"/>
  <c r="A133" i="14"/>
  <c r="A134" i="14"/>
  <c r="A135" i="14"/>
  <c r="A136" i="14"/>
  <c r="A137" i="14"/>
  <c r="A138" i="14"/>
  <c r="A139" i="14"/>
  <c r="A140" i="14"/>
  <c r="A141" i="14"/>
  <c r="A142" i="14"/>
  <c r="A143" i="14"/>
  <c r="A144" i="14"/>
  <c r="A145" i="14"/>
  <c r="A146" i="14"/>
  <c r="A147" i="14"/>
  <c r="A148" i="14"/>
  <c r="A149" i="14"/>
  <c r="A150" i="14"/>
  <c r="A151" i="14"/>
  <c r="A152" i="14"/>
  <c r="A153" i="14"/>
  <c r="A154" i="14"/>
  <c r="A155" i="14"/>
  <c r="A156" i="14"/>
  <c r="A157" i="14"/>
  <c r="A158" i="14"/>
  <c r="A159" i="14"/>
  <c r="A160" i="14"/>
  <c r="A161" i="14"/>
  <c r="A162" i="14"/>
  <c r="A163" i="14"/>
  <c r="A164" i="14"/>
  <c r="A165" i="14"/>
  <c r="A166" i="14"/>
  <c r="A167" i="14"/>
  <c r="A168" i="14"/>
  <c r="A169" i="14"/>
  <c r="A170" i="14"/>
  <c r="A171" i="14"/>
  <c r="A172" i="14"/>
  <c r="A173" i="14"/>
  <c r="A174" i="14"/>
  <c r="A175" i="14"/>
  <c r="A176" i="14"/>
  <c r="A177" i="14"/>
  <c r="A178" i="14"/>
  <c r="A179" i="14"/>
  <c r="A180" i="14"/>
  <c r="A181" i="14"/>
  <c r="A182" i="14"/>
  <c r="A183" i="14"/>
  <c r="A184" i="14"/>
  <c r="A185" i="14"/>
  <c r="A186" i="14"/>
  <c r="A187" i="14"/>
  <c r="A188" i="14"/>
  <c r="A189" i="14"/>
  <c r="A190" i="14"/>
  <c r="A191" i="14"/>
  <c r="A192" i="14"/>
  <c r="A193" i="14"/>
  <c r="A194" i="14"/>
  <c r="A195" i="14"/>
  <c r="A196" i="14"/>
  <c r="A197" i="14"/>
  <c r="A198" i="14"/>
  <c r="A199" i="14"/>
  <c r="A200" i="14"/>
  <c r="A201" i="14"/>
  <c r="A202" i="14"/>
  <c r="A203" i="14"/>
  <c r="A204" i="14"/>
  <c r="A205" i="14"/>
  <c r="A206" i="14"/>
  <c r="A207" i="14"/>
  <c r="A208" i="14"/>
  <c r="A209" i="14"/>
  <c r="A210" i="14"/>
  <c r="A211" i="14"/>
  <c r="A212" i="14"/>
  <c r="A213" i="14"/>
  <c r="A214" i="14"/>
  <c r="A215" i="14"/>
  <c r="A216" i="14"/>
  <c r="A217" i="14"/>
  <c r="A218" i="14"/>
  <c r="A219" i="14"/>
  <c r="A220" i="14"/>
  <c r="A221" i="14"/>
  <c r="A222" i="14"/>
  <c r="A223" i="14"/>
  <c r="A224" i="14"/>
  <c r="A225" i="14"/>
  <c r="A226" i="14"/>
  <c r="A227" i="14"/>
  <c r="A228" i="14"/>
  <c r="A229" i="14"/>
  <c r="A230" i="14"/>
  <c r="A231" i="14"/>
  <c r="A232" i="14"/>
  <c r="A233" i="14"/>
  <c r="A234" i="14"/>
  <c r="A235" i="14"/>
  <c r="A236" i="14"/>
  <c r="A237" i="14"/>
  <c r="A238" i="14"/>
  <c r="A239" i="14"/>
  <c r="A240" i="14"/>
  <c r="A241" i="14"/>
  <c r="A242" i="14"/>
  <c r="A243" i="14"/>
  <c r="A244" i="14"/>
  <c r="A245" i="14"/>
  <c r="A246" i="14"/>
  <c r="A247" i="14"/>
  <c r="A248" i="14"/>
  <c r="A249" i="14"/>
  <c r="A250" i="14"/>
  <c r="A251" i="14"/>
  <c r="A252" i="14"/>
  <c r="A253" i="14"/>
  <c r="A254" i="14"/>
  <c r="A255" i="14"/>
  <c r="A256" i="14"/>
  <c r="A257" i="14"/>
  <c r="A258" i="14"/>
  <c r="A259" i="14"/>
  <c r="A260" i="14"/>
  <c r="A261" i="14"/>
  <c r="A262" i="14"/>
  <c r="A263" i="14"/>
  <c r="A264" i="14"/>
  <c r="A265" i="14"/>
  <c r="A266" i="14"/>
  <c r="A267" i="14"/>
  <c r="A268" i="14"/>
  <c r="A269" i="14"/>
  <c r="A270" i="14"/>
  <c r="A271" i="14"/>
  <c r="A272" i="14"/>
  <c r="A273" i="14"/>
  <c r="A274" i="14"/>
  <c r="A275" i="14"/>
  <c r="A276" i="14"/>
  <c r="A277" i="14"/>
  <c r="A278" i="14"/>
  <c r="A279" i="14"/>
  <c r="A280" i="14"/>
  <c r="A281" i="14"/>
  <c r="A282" i="14"/>
  <c r="A283" i="14"/>
  <c r="A284" i="14"/>
  <c r="A285" i="14"/>
  <c r="A286" i="14"/>
  <c r="A287" i="14"/>
  <c r="A288" i="14"/>
  <c r="A289" i="14"/>
  <c r="A290" i="14"/>
  <c r="A291" i="14"/>
  <c r="A292" i="14"/>
  <c r="A293" i="14"/>
  <c r="A294" i="14"/>
  <c r="A295" i="14"/>
  <c r="A296" i="14"/>
  <c r="A297" i="14"/>
  <c r="A298" i="14"/>
  <c r="A299" i="14"/>
  <c r="A300" i="14"/>
  <c r="A301" i="14"/>
  <c r="A302" i="14"/>
  <c r="A303" i="14"/>
  <c r="A304" i="14"/>
  <c r="A305" i="14"/>
  <c r="A306" i="14"/>
  <c r="A307" i="14"/>
  <c r="A308" i="14"/>
  <c r="A309" i="14"/>
  <c r="A310" i="14"/>
  <c r="A311" i="14"/>
  <c r="A312" i="14"/>
  <c r="A313" i="14"/>
  <c r="A314" i="14"/>
  <c r="A315" i="14"/>
  <c r="A316" i="14"/>
  <c r="A317" i="14"/>
  <c r="A318" i="14"/>
  <c r="A319" i="14"/>
  <c r="A320" i="14"/>
  <c r="A321" i="14"/>
  <c r="A322" i="14"/>
  <c r="A323" i="14"/>
  <c r="A324" i="14"/>
  <c r="A325" i="14"/>
  <c r="A326" i="14"/>
  <c r="A327" i="14"/>
  <c r="A328" i="14"/>
  <c r="A329" i="14"/>
  <c r="A330" i="14"/>
  <c r="A331" i="14"/>
  <c r="A332" i="14"/>
  <c r="A333" i="14"/>
  <c r="A334" i="14"/>
  <c r="A335" i="14"/>
  <c r="A336" i="14"/>
  <c r="A337" i="14"/>
  <c r="A338" i="14"/>
  <c r="A339" i="14"/>
  <c r="A340" i="14"/>
  <c r="A341" i="14"/>
  <c r="A342" i="14"/>
  <c r="A343" i="14"/>
  <c r="A344" i="14"/>
  <c r="A345" i="14"/>
  <c r="A346" i="14"/>
  <c r="A347" i="14"/>
  <c r="A348" i="14"/>
  <c r="A349" i="14"/>
  <c r="A350" i="14"/>
  <c r="A351" i="14"/>
  <c r="A352" i="14"/>
  <c r="A353" i="14"/>
  <c r="A354" i="14"/>
  <c r="A355" i="14"/>
  <c r="A356" i="14"/>
  <c r="A357" i="14"/>
  <c r="A358" i="14"/>
  <c r="A359" i="14"/>
  <c r="A360" i="14"/>
  <c r="A361" i="14"/>
  <c r="A362" i="14"/>
  <c r="A363" i="14"/>
  <c r="A364" i="14"/>
  <c r="A365" i="14"/>
  <c r="A366" i="14"/>
  <c r="A367" i="14"/>
  <c r="A368" i="14"/>
  <c r="A369" i="14"/>
  <c r="A370" i="14"/>
  <c r="A371" i="14"/>
  <c r="A372" i="14"/>
  <c r="A373" i="14"/>
  <c r="A374" i="14"/>
  <c r="A375" i="14"/>
  <c r="A376" i="14"/>
  <c r="A377" i="14"/>
  <c r="A378" i="14"/>
  <c r="A379" i="14"/>
  <c r="A380" i="14"/>
  <c r="A381" i="14"/>
  <c r="A382" i="14"/>
  <c r="A383" i="14"/>
  <c r="A384" i="14"/>
  <c r="A385" i="14"/>
  <c r="A386" i="14"/>
  <c r="A387" i="14"/>
  <c r="A388" i="14"/>
  <c r="A389" i="14"/>
  <c r="A390" i="14"/>
  <c r="A391" i="14"/>
  <c r="A392" i="14"/>
  <c r="A393" i="14"/>
  <c r="A394" i="14"/>
  <c r="A395" i="14"/>
  <c r="A396" i="14"/>
  <c r="A397" i="14"/>
  <c r="A398" i="14"/>
  <c r="A399" i="14"/>
  <c r="A400" i="14"/>
  <c r="A401" i="14"/>
  <c r="A6" i="14"/>
  <c r="K401" i="14"/>
  <c r="G401" i="14"/>
  <c r="K400" i="14"/>
  <c r="G400" i="14"/>
  <c r="K395" i="14"/>
  <c r="G395" i="14"/>
  <c r="K394" i="14"/>
  <c r="G394" i="14"/>
  <c r="K393" i="14"/>
  <c r="G393" i="14"/>
  <c r="K391" i="14"/>
  <c r="G391" i="14"/>
  <c r="K390" i="14"/>
  <c r="G390" i="14"/>
  <c r="K389" i="14"/>
  <c r="G389" i="14"/>
  <c r="K388" i="14"/>
  <c r="G388" i="14"/>
  <c r="K387" i="14"/>
  <c r="G387" i="14"/>
  <c r="K386" i="14"/>
  <c r="G386" i="14"/>
  <c r="K385" i="14"/>
  <c r="G385" i="14"/>
  <c r="K384" i="14"/>
  <c r="H384" i="14"/>
  <c r="G384" i="14"/>
  <c r="D384" i="14"/>
  <c r="K383" i="14"/>
  <c r="G383" i="14"/>
  <c r="K382" i="14"/>
  <c r="G382" i="14"/>
  <c r="K381" i="14"/>
  <c r="G381" i="14"/>
  <c r="K380" i="14"/>
  <c r="G380" i="14"/>
  <c r="K379" i="14"/>
  <c r="G379" i="14"/>
  <c r="K378" i="14"/>
  <c r="G378" i="14"/>
  <c r="K377" i="14"/>
  <c r="G377" i="14"/>
  <c r="K376" i="14"/>
  <c r="G376" i="14"/>
  <c r="K375" i="14"/>
  <c r="G375" i="14"/>
  <c r="K373" i="14"/>
  <c r="G373" i="14"/>
  <c r="K372" i="14"/>
  <c r="G372" i="14"/>
  <c r="K371" i="14"/>
  <c r="G371" i="14"/>
  <c r="K370" i="14"/>
  <c r="G370" i="14"/>
  <c r="K369" i="14"/>
  <c r="G369" i="14"/>
  <c r="K368" i="14"/>
  <c r="G368" i="14"/>
  <c r="K367" i="14"/>
  <c r="G367" i="14"/>
  <c r="K366" i="14"/>
  <c r="G366" i="14"/>
  <c r="K364" i="14"/>
  <c r="G364" i="14"/>
  <c r="K363" i="14"/>
  <c r="G363" i="14"/>
  <c r="K362" i="14"/>
  <c r="G362" i="14"/>
  <c r="K361" i="14"/>
  <c r="G361" i="14"/>
  <c r="K360" i="14"/>
  <c r="G360" i="14"/>
  <c r="K359" i="14"/>
  <c r="G359" i="14"/>
  <c r="K358" i="14"/>
  <c r="G358" i="14"/>
  <c r="K357" i="14"/>
  <c r="G357" i="14"/>
  <c r="K356" i="14"/>
  <c r="G356" i="14"/>
  <c r="K355" i="14"/>
  <c r="G355" i="14"/>
  <c r="K354" i="14"/>
  <c r="G354" i="14"/>
  <c r="K352" i="14"/>
  <c r="G352" i="14"/>
  <c r="K351" i="14"/>
  <c r="G351" i="14"/>
  <c r="K350" i="14"/>
  <c r="G350" i="14"/>
  <c r="K348" i="14"/>
  <c r="G348" i="14"/>
  <c r="K347" i="14"/>
  <c r="G347" i="14"/>
  <c r="K346" i="14"/>
  <c r="G346" i="14"/>
  <c r="K345" i="14"/>
  <c r="G345" i="14"/>
  <c r="K343" i="14"/>
  <c r="G343" i="14"/>
  <c r="K342" i="14"/>
  <c r="G342" i="14"/>
  <c r="K341" i="14"/>
  <c r="G341" i="14"/>
  <c r="K340" i="14"/>
  <c r="G340" i="14"/>
  <c r="K339" i="14"/>
  <c r="G339" i="14"/>
  <c r="K338" i="14"/>
  <c r="G338" i="14"/>
  <c r="K337" i="14"/>
  <c r="G337" i="14"/>
  <c r="K336" i="14"/>
  <c r="G336" i="14"/>
  <c r="K333" i="14"/>
  <c r="G333" i="14"/>
  <c r="K332" i="14"/>
  <c r="G332" i="14"/>
  <c r="K331" i="14"/>
  <c r="G331" i="14"/>
  <c r="K328" i="14"/>
  <c r="G328" i="14"/>
  <c r="K327" i="14"/>
  <c r="G327" i="14"/>
  <c r="K325" i="14"/>
  <c r="G325" i="14"/>
  <c r="K321" i="14"/>
  <c r="G321" i="14"/>
  <c r="K319" i="14"/>
  <c r="G319" i="14"/>
  <c r="K318" i="14"/>
  <c r="G318" i="14"/>
  <c r="K313" i="14"/>
  <c r="G313" i="14"/>
  <c r="K311" i="14"/>
  <c r="G311" i="14"/>
  <c r="K310" i="14"/>
  <c r="G310" i="14"/>
  <c r="K309" i="14"/>
  <c r="G309" i="14"/>
  <c r="K307" i="14"/>
  <c r="G307" i="14"/>
  <c r="K299" i="14"/>
  <c r="G299" i="14"/>
  <c r="K298" i="14"/>
  <c r="G298" i="14"/>
  <c r="K297" i="14"/>
  <c r="G297" i="14"/>
  <c r="K296" i="14"/>
  <c r="G296" i="14"/>
  <c r="K295" i="14"/>
  <c r="G295" i="14"/>
  <c r="K294" i="14"/>
  <c r="G294" i="14"/>
  <c r="K293" i="14"/>
  <c r="G293" i="14"/>
  <c r="K292" i="14"/>
  <c r="G292" i="14"/>
  <c r="K291" i="14"/>
  <c r="G291" i="14"/>
  <c r="K290" i="14"/>
  <c r="G290" i="14"/>
  <c r="K289" i="14"/>
  <c r="G289" i="14"/>
  <c r="K288" i="14"/>
  <c r="G288" i="14"/>
  <c r="K287" i="14"/>
  <c r="G287" i="14"/>
  <c r="K286" i="14"/>
  <c r="G286" i="14"/>
  <c r="K285" i="14"/>
  <c r="G285" i="14"/>
  <c r="K284" i="14"/>
  <c r="G284" i="14"/>
  <c r="K283" i="14"/>
  <c r="G283" i="14"/>
  <c r="K282" i="14"/>
  <c r="G282" i="14"/>
  <c r="K281" i="14"/>
  <c r="G281" i="14"/>
  <c r="K280" i="14"/>
  <c r="G280" i="14"/>
  <c r="K279" i="14"/>
  <c r="G279" i="14"/>
  <c r="K278" i="14"/>
  <c r="G278" i="14"/>
  <c r="K277" i="14"/>
  <c r="G277" i="14"/>
  <c r="K276" i="14"/>
  <c r="G276" i="14"/>
  <c r="K275" i="14"/>
  <c r="G275" i="14"/>
  <c r="K274" i="14"/>
  <c r="G274" i="14"/>
  <c r="K273" i="14"/>
  <c r="G273" i="14"/>
  <c r="K272" i="14"/>
  <c r="G272" i="14"/>
  <c r="K271" i="14"/>
  <c r="G271" i="14"/>
  <c r="K270" i="14"/>
  <c r="G270" i="14"/>
  <c r="K269" i="14"/>
  <c r="G269" i="14"/>
  <c r="K268" i="14"/>
  <c r="G268" i="14"/>
  <c r="K267" i="14"/>
  <c r="G267" i="14"/>
  <c r="K266" i="14"/>
  <c r="G266" i="14"/>
  <c r="K265" i="14"/>
  <c r="G265" i="14"/>
  <c r="K264" i="14"/>
  <c r="G264" i="14"/>
  <c r="K263" i="14"/>
  <c r="G263" i="14"/>
  <c r="K262" i="14"/>
  <c r="G262" i="14"/>
  <c r="K261" i="14"/>
  <c r="G261" i="14"/>
  <c r="K260" i="14"/>
  <c r="G260" i="14"/>
  <c r="K259" i="14"/>
  <c r="G259" i="14"/>
  <c r="K258" i="14"/>
  <c r="G258" i="14"/>
  <c r="K257" i="14"/>
  <c r="G257" i="14"/>
  <c r="K256" i="14"/>
  <c r="G256" i="14"/>
  <c r="K255" i="14"/>
  <c r="G255" i="14"/>
  <c r="K254" i="14"/>
  <c r="G254" i="14"/>
  <c r="K253" i="14"/>
  <c r="G253" i="14"/>
  <c r="K252" i="14"/>
  <c r="G252" i="14"/>
  <c r="K251" i="14"/>
  <c r="G251" i="14"/>
  <c r="K250" i="14"/>
  <c r="G250" i="14"/>
  <c r="K249" i="14"/>
  <c r="G249" i="14"/>
  <c r="K248" i="14"/>
  <c r="G248" i="14"/>
  <c r="K247" i="14"/>
  <c r="G247" i="14"/>
  <c r="K246" i="14"/>
  <c r="G246" i="14"/>
  <c r="K245" i="14"/>
  <c r="G245" i="14"/>
  <c r="K244" i="14"/>
  <c r="G244" i="14"/>
  <c r="K243" i="14"/>
  <c r="G243" i="14"/>
  <c r="K242" i="14"/>
  <c r="G242" i="14"/>
  <c r="K241" i="14"/>
  <c r="G241" i="14"/>
  <c r="K240" i="14"/>
  <c r="G240" i="14"/>
  <c r="K239" i="14"/>
  <c r="G239" i="14"/>
  <c r="K238" i="14"/>
  <c r="G238" i="14"/>
  <c r="K237" i="14"/>
  <c r="G237" i="14"/>
  <c r="K236" i="14"/>
  <c r="G236" i="14"/>
  <c r="K235" i="14"/>
  <c r="G235" i="14"/>
  <c r="K234" i="14"/>
  <c r="G234" i="14"/>
  <c r="K233" i="14"/>
  <c r="G233" i="14"/>
  <c r="K232" i="14"/>
  <c r="G232" i="14"/>
  <c r="K231" i="14"/>
  <c r="G231" i="14"/>
  <c r="K230" i="14"/>
  <c r="G230" i="14"/>
  <c r="K229" i="14"/>
  <c r="G229" i="14"/>
  <c r="K228" i="14"/>
  <c r="G228" i="14"/>
  <c r="K227" i="14"/>
  <c r="G227" i="14"/>
  <c r="K226" i="14"/>
  <c r="G226" i="14"/>
  <c r="K225" i="14"/>
  <c r="G225" i="14"/>
  <c r="K224" i="14"/>
  <c r="G224" i="14"/>
  <c r="K223" i="14"/>
  <c r="G223" i="14"/>
  <c r="K222" i="14"/>
  <c r="G222" i="14"/>
  <c r="K221" i="14"/>
  <c r="G221" i="14"/>
  <c r="K220" i="14"/>
  <c r="G220" i="14"/>
  <c r="K219" i="14"/>
  <c r="G219" i="14"/>
  <c r="K218" i="14"/>
  <c r="G218" i="14"/>
  <c r="K217" i="14"/>
  <c r="G217" i="14"/>
  <c r="K216" i="14"/>
  <c r="G216" i="14"/>
  <c r="K215" i="14"/>
  <c r="G215" i="14"/>
  <c r="K214" i="14"/>
  <c r="G214" i="14"/>
  <c r="K213" i="14"/>
  <c r="G213" i="14"/>
  <c r="K212" i="14"/>
  <c r="G212" i="14"/>
  <c r="K211" i="14"/>
  <c r="G211" i="14"/>
  <c r="K210" i="14"/>
  <c r="G210" i="14"/>
  <c r="K209" i="14"/>
  <c r="G209" i="14"/>
  <c r="K208" i="14"/>
  <c r="G208" i="14"/>
  <c r="K207" i="14"/>
  <c r="G207" i="14"/>
  <c r="K206" i="14"/>
  <c r="G206" i="14"/>
  <c r="K205" i="14"/>
  <c r="G205" i="14"/>
  <c r="K204" i="14"/>
  <c r="G204" i="14"/>
  <c r="K203" i="14"/>
  <c r="G203" i="14"/>
  <c r="K202" i="14"/>
  <c r="G202" i="14"/>
  <c r="K201" i="14"/>
  <c r="G201" i="14"/>
  <c r="K200" i="14"/>
  <c r="G200" i="14"/>
  <c r="K199" i="14"/>
  <c r="G199" i="14"/>
  <c r="K198" i="14"/>
  <c r="G198" i="14"/>
  <c r="K197" i="14"/>
  <c r="G197" i="14"/>
  <c r="K196" i="14"/>
  <c r="G196" i="14"/>
  <c r="K195" i="14"/>
  <c r="G195" i="14"/>
  <c r="K194" i="14"/>
  <c r="G194" i="14"/>
  <c r="K193" i="14"/>
  <c r="G193" i="14"/>
  <c r="K192" i="14"/>
  <c r="G192" i="14"/>
  <c r="K191" i="14"/>
  <c r="G191" i="14"/>
  <c r="K190" i="14"/>
  <c r="G190" i="14"/>
  <c r="K189" i="14"/>
  <c r="G189" i="14"/>
  <c r="K188" i="14"/>
  <c r="G188" i="14"/>
  <c r="K187" i="14"/>
  <c r="G187" i="14"/>
  <c r="K186" i="14"/>
  <c r="G186" i="14"/>
  <c r="K185" i="14"/>
  <c r="G185" i="14"/>
  <c r="K184" i="14"/>
  <c r="G184" i="14"/>
  <c r="K183" i="14"/>
  <c r="G183" i="14"/>
  <c r="K182" i="14"/>
  <c r="G182" i="14"/>
  <c r="K181" i="14"/>
  <c r="G181" i="14"/>
  <c r="K180" i="14"/>
  <c r="G180" i="14"/>
  <c r="K179" i="14"/>
  <c r="G179" i="14"/>
  <c r="K178" i="14"/>
  <c r="G178" i="14"/>
  <c r="K177" i="14"/>
  <c r="G177" i="14"/>
  <c r="K176" i="14"/>
  <c r="G176" i="14"/>
  <c r="K175" i="14"/>
  <c r="G175" i="14"/>
  <c r="K174" i="14"/>
  <c r="G174" i="14"/>
  <c r="K173" i="14"/>
  <c r="G173" i="14"/>
  <c r="K172" i="14"/>
  <c r="G172" i="14"/>
  <c r="K171" i="14"/>
  <c r="G171" i="14"/>
  <c r="K170" i="14"/>
  <c r="G170" i="14"/>
  <c r="K169" i="14"/>
  <c r="G169" i="14"/>
  <c r="K168" i="14"/>
  <c r="G168" i="14"/>
  <c r="K167" i="14"/>
  <c r="G167" i="14"/>
  <c r="K166" i="14"/>
  <c r="G166" i="14"/>
  <c r="K165" i="14"/>
  <c r="G165" i="14"/>
  <c r="K164" i="14"/>
  <c r="G164" i="14"/>
  <c r="K163" i="14"/>
  <c r="G163" i="14"/>
  <c r="K162" i="14"/>
  <c r="G162" i="14"/>
  <c r="K161" i="14"/>
  <c r="G161" i="14"/>
  <c r="K160" i="14"/>
  <c r="G160" i="14"/>
  <c r="K159" i="14"/>
  <c r="G159" i="14"/>
  <c r="K158" i="14"/>
  <c r="G158" i="14"/>
  <c r="K157" i="14"/>
  <c r="G157" i="14"/>
  <c r="K156" i="14"/>
  <c r="G156" i="14"/>
  <c r="K155" i="14"/>
  <c r="G155" i="14"/>
  <c r="K154" i="14"/>
  <c r="G154" i="14"/>
  <c r="K153" i="14"/>
  <c r="G153" i="14"/>
  <c r="K152" i="14"/>
  <c r="G152" i="14"/>
  <c r="K151" i="14"/>
  <c r="G151" i="14"/>
  <c r="K150" i="14"/>
  <c r="G150" i="14"/>
  <c r="K149" i="14"/>
  <c r="G149" i="14"/>
  <c r="K148" i="14"/>
  <c r="G148" i="14"/>
  <c r="K147" i="14"/>
  <c r="G147" i="14"/>
  <c r="K146" i="14"/>
  <c r="G146" i="14"/>
  <c r="K145" i="14"/>
  <c r="G145" i="14"/>
  <c r="K144" i="14"/>
  <c r="G144" i="14"/>
  <c r="K143" i="14"/>
  <c r="G143" i="14"/>
  <c r="K142" i="14"/>
  <c r="G142" i="14"/>
  <c r="K141" i="14"/>
  <c r="G141" i="14"/>
  <c r="K140" i="14"/>
  <c r="G140" i="14"/>
  <c r="K139" i="14"/>
  <c r="G139" i="14"/>
  <c r="K138" i="14"/>
  <c r="G138" i="14"/>
  <c r="K137" i="14"/>
  <c r="G137" i="14"/>
  <c r="K136" i="14"/>
  <c r="G136" i="14"/>
  <c r="K135" i="14"/>
  <c r="G135" i="14"/>
  <c r="K134" i="14"/>
  <c r="G134" i="14"/>
  <c r="K133" i="14"/>
  <c r="G133" i="14"/>
  <c r="K132" i="14"/>
  <c r="G132" i="14"/>
  <c r="K131" i="14"/>
  <c r="G131" i="14"/>
  <c r="K130" i="14"/>
  <c r="G130" i="14"/>
  <c r="K129" i="14"/>
  <c r="G129" i="14"/>
  <c r="K128" i="14"/>
  <c r="G128" i="14"/>
  <c r="K127" i="14"/>
  <c r="G127" i="14"/>
  <c r="K126" i="14"/>
  <c r="G126" i="14"/>
  <c r="K125" i="14"/>
  <c r="G125" i="14"/>
  <c r="K124" i="14"/>
  <c r="G124" i="14"/>
  <c r="K123" i="14"/>
  <c r="G123" i="14"/>
  <c r="K122" i="14"/>
  <c r="G122" i="14"/>
  <c r="K121" i="14"/>
  <c r="G121" i="14"/>
  <c r="K120" i="14"/>
  <c r="G120" i="14"/>
  <c r="K119" i="14"/>
  <c r="G119" i="14"/>
  <c r="K118" i="14"/>
  <c r="G118" i="14"/>
  <c r="K117" i="14"/>
  <c r="G117" i="14"/>
  <c r="K116" i="14"/>
  <c r="G116" i="14"/>
  <c r="K115" i="14"/>
  <c r="G115" i="14"/>
  <c r="K114" i="14"/>
  <c r="G114" i="14"/>
  <c r="K113" i="14"/>
  <c r="G113" i="14"/>
  <c r="K112" i="14"/>
  <c r="G112" i="14"/>
  <c r="K111" i="14"/>
  <c r="G111" i="14"/>
  <c r="K110" i="14"/>
  <c r="G110" i="14"/>
  <c r="K109" i="14"/>
  <c r="G109" i="14"/>
  <c r="K108" i="14"/>
  <c r="G108" i="14"/>
  <c r="K107" i="14"/>
  <c r="G107" i="14"/>
  <c r="K106" i="14"/>
  <c r="G106" i="14"/>
  <c r="K105" i="14"/>
  <c r="G105" i="14"/>
  <c r="K104" i="14"/>
  <c r="G104" i="14"/>
  <c r="K103" i="14"/>
  <c r="G103" i="14"/>
  <c r="K102" i="14"/>
  <c r="G102" i="14"/>
  <c r="K101" i="14"/>
  <c r="G101" i="14"/>
  <c r="K100" i="14"/>
  <c r="G100" i="14"/>
  <c r="K99" i="14"/>
  <c r="G99" i="14"/>
  <c r="K98" i="14"/>
  <c r="G98" i="14"/>
  <c r="K97" i="14"/>
  <c r="G97" i="14"/>
  <c r="K96" i="14"/>
  <c r="G96" i="14"/>
  <c r="K95" i="14"/>
  <c r="G95" i="14"/>
  <c r="K94" i="14"/>
  <c r="G94" i="14"/>
  <c r="K93" i="14"/>
  <c r="G93" i="14"/>
  <c r="K92" i="14"/>
  <c r="G92" i="14"/>
  <c r="K91" i="14"/>
  <c r="G91" i="14"/>
  <c r="K90" i="14"/>
  <c r="G90" i="14"/>
  <c r="K89" i="14"/>
  <c r="G89" i="14"/>
  <c r="K88" i="14"/>
  <c r="G88" i="14"/>
  <c r="K87" i="14"/>
  <c r="G87" i="14"/>
  <c r="K86" i="14"/>
  <c r="G86" i="14"/>
  <c r="K85" i="14"/>
  <c r="G85" i="14"/>
  <c r="K84" i="14"/>
  <c r="G84" i="14"/>
  <c r="K83" i="14"/>
  <c r="G83" i="14"/>
  <c r="K82" i="14"/>
  <c r="G82" i="14"/>
  <c r="K81" i="14"/>
  <c r="G81" i="14"/>
  <c r="K80" i="14"/>
  <c r="G80" i="14"/>
  <c r="K79" i="14"/>
  <c r="G79" i="14"/>
  <c r="K78" i="14"/>
  <c r="G78" i="14"/>
  <c r="K77" i="14"/>
  <c r="G77" i="14"/>
  <c r="K76" i="14"/>
  <c r="G76" i="14"/>
  <c r="K75" i="14"/>
  <c r="G75" i="14"/>
  <c r="K74" i="14"/>
  <c r="G74" i="14"/>
  <c r="K73" i="14"/>
  <c r="G73" i="14"/>
  <c r="K72" i="14"/>
  <c r="G72" i="14"/>
  <c r="K71" i="14"/>
  <c r="G71" i="14"/>
  <c r="K70" i="14"/>
  <c r="G70" i="14"/>
  <c r="K69" i="14"/>
  <c r="G69" i="14"/>
  <c r="K68" i="14"/>
  <c r="G68" i="14"/>
  <c r="K67" i="14"/>
  <c r="G67" i="14"/>
  <c r="K66" i="14"/>
  <c r="G66" i="14"/>
  <c r="K65" i="14"/>
  <c r="G65" i="14"/>
  <c r="K64" i="14"/>
  <c r="G64" i="14"/>
  <c r="K63" i="14"/>
  <c r="G63" i="14"/>
  <c r="K62" i="14"/>
  <c r="G62" i="14"/>
  <c r="K61" i="14"/>
  <c r="G61" i="14"/>
  <c r="K60" i="14"/>
  <c r="G60" i="14"/>
  <c r="K59" i="14"/>
  <c r="G59" i="14"/>
  <c r="K58" i="14"/>
  <c r="G58" i="14"/>
  <c r="K57" i="14"/>
  <c r="G57" i="14"/>
  <c r="K56" i="14"/>
  <c r="G56" i="14"/>
  <c r="K55" i="14"/>
  <c r="G55" i="14"/>
  <c r="K54" i="14"/>
  <c r="G54" i="14"/>
  <c r="K53" i="14"/>
  <c r="G53" i="14"/>
  <c r="K52" i="14"/>
  <c r="G52" i="14"/>
  <c r="K51" i="14"/>
  <c r="G51" i="14"/>
  <c r="K50" i="14"/>
  <c r="G50" i="14"/>
  <c r="K49" i="14"/>
  <c r="G49" i="14"/>
  <c r="K48" i="14"/>
  <c r="G48" i="14"/>
  <c r="K47" i="14"/>
  <c r="G47" i="14"/>
  <c r="K46" i="14"/>
  <c r="G46" i="14"/>
  <c r="K45" i="14"/>
  <c r="G45" i="14"/>
  <c r="K44" i="14"/>
  <c r="G44" i="14"/>
  <c r="K43" i="14"/>
  <c r="G43" i="14"/>
  <c r="K42" i="14"/>
  <c r="G42" i="14"/>
  <c r="K41" i="14"/>
  <c r="G41" i="14"/>
  <c r="K40" i="14"/>
  <c r="G40" i="14"/>
  <c r="K39" i="14"/>
  <c r="G39" i="14"/>
  <c r="K38" i="14"/>
  <c r="G38" i="14"/>
  <c r="K37" i="14"/>
  <c r="G37" i="14"/>
  <c r="K36" i="14"/>
  <c r="G36" i="14"/>
  <c r="K35" i="14"/>
  <c r="G35" i="14"/>
  <c r="K34" i="14"/>
  <c r="G34" i="14"/>
  <c r="K33" i="14"/>
  <c r="G33" i="14"/>
  <c r="K32" i="14"/>
  <c r="G32" i="14"/>
  <c r="K31" i="14"/>
  <c r="G31" i="14"/>
  <c r="K30" i="14"/>
  <c r="G30" i="14"/>
  <c r="K29" i="14"/>
  <c r="G29" i="14"/>
  <c r="K28" i="14"/>
  <c r="G28" i="14"/>
  <c r="K27" i="14"/>
  <c r="H27" i="14"/>
  <c r="G27" i="14"/>
  <c r="D27" i="14"/>
  <c r="K26" i="14"/>
  <c r="H26" i="14"/>
  <c r="G26" i="14"/>
  <c r="D26" i="14"/>
  <c r="K25" i="14"/>
  <c r="G25" i="14"/>
  <c r="K24" i="14"/>
  <c r="G24" i="14"/>
  <c r="K23" i="14"/>
  <c r="G23" i="14"/>
  <c r="K22" i="14"/>
  <c r="G22" i="14"/>
  <c r="K21" i="14"/>
  <c r="G21" i="14"/>
  <c r="K20" i="14"/>
  <c r="G20" i="14"/>
  <c r="K19" i="14"/>
  <c r="G19" i="14"/>
  <c r="K18" i="14"/>
  <c r="G18" i="14"/>
  <c r="K17" i="14"/>
  <c r="G17" i="14"/>
  <c r="K16" i="14"/>
  <c r="G16" i="14"/>
  <c r="K15" i="14"/>
  <c r="G15" i="14"/>
  <c r="K14" i="14"/>
  <c r="G14" i="14"/>
  <c r="K13" i="14"/>
  <c r="G13" i="14"/>
  <c r="K12" i="14"/>
  <c r="G12" i="14"/>
  <c r="K11" i="14"/>
  <c r="G11" i="14"/>
  <c r="K10" i="14"/>
  <c r="G10" i="14"/>
  <c r="K9" i="14"/>
  <c r="G9" i="14"/>
  <c r="K8" i="14"/>
  <c r="G8" i="14"/>
  <c r="K7" i="14"/>
  <c r="G7" i="14"/>
  <c r="K6" i="14"/>
  <c r="G6" i="14"/>
  <c r="C1" i="14"/>
  <c r="F2" i="14" s="1"/>
  <c r="E11" i="47"/>
  <c r="E11" i="46"/>
  <c r="E11" i="45"/>
  <c r="E11" i="44"/>
  <c r="H5" i="14" l="1"/>
  <c r="I163" i="14" s="1"/>
  <c r="G9" i="2"/>
  <c r="D5" i="14"/>
  <c r="E24" i="14" s="1"/>
  <c r="F24" i="14" s="1"/>
  <c r="I30" i="14"/>
  <c r="I19" i="14"/>
  <c r="I214" i="14"/>
  <c r="I26" i="14"/>
  <c r="I31" i="14"/>
  <c r="K5" i="14"/>
  <c r="I62" i="14"/>
  <c r="I130" i="14"/>
  <c r="I115" i="14"/>
  <c r="G5" i="14"/>
  <c r="E51" i="14"/>
  <c r="F51" i="14" s="1"/>
  <c r="J2" i="14"/>
  <c r="I12" i="14"/>
  <c r="I20" i="14"/>
  <c r="I32" i="14"/>
  <c r="E37" i="14"/>
  <c r="F37" i="14" s="1"/>
  <c r="I40" i="14"/>
  <c r="I48" i="14"/>
  <c r="I64" i="14"/>
  <c r="I73" i="14"/>
  <c r="I81" i="14"/>
  <c r="E88" i="14"/>
  <c r="F88" i="14" s="1"/>
  <c r="I90" i="14"/>
  <c r="I122" i="14"/>
  <c r="I154" i="14"/>
  <c r="I9" i="14"/>
  <c r="I17" i="14"/>
  <c r="E22" i="14"/>
  <c r="F22" i="14" s="1"/>
  <c r="I25" i="14"/>
  <c r="I29" i="14"/>
  <c r="I45" i="14"/>
  <c r="I53" i="14"/>
  <c r="I61" i="14"/>
  <c r="I68" i="14"/>
  <c r="I72" i="14"/>
  <c r="I123" i="14"/>
  <c r="E143" i="14"/>
  <c r="F143" i="14" s="1"/>
  <c r="I155" i="14"/>
  <c r="E187" i="14"/>
  <c r="F187" i="14" s="1"/>
  <c r="I359" i="14"/>
  <c r="E379" i="14"/>
  <c r="F379" i="14" s="1"/>
  <c r="E353" i="14"/>
  <c r="F353" i="14" s="1"/>
  <c r="E347" i="14"/>
  <c r="F347" i="14" s="1"/>
  <c r="E319" i="14"/>
  <c r="F319" i="14" s="1"/>
  <c r="E307" i="14"/>
  <c r="F307" i="14" s="1"/>
  <c r="E289" i="14"/>
  <c r="F289" i="14" s="1"/>
  <c r="E360" i="14"/>
  <c r="F360" i="14" s="1"/>
  <c r="E348" i="14"/>
  <c r="F348" i="14" s="1"/>
  <c r="E308" i="14"/>
  <c r="F308" i="14" s="1"/>
  <c r="E302" i="14"/>
  <c r="F302" i="14" s="1"/>
  <c r="E290" i="14"/>
  <c r="F290" i="14" s="1"/>
  <c r="E367" i="14"/>
  <c r="F367" i="14" s="1"/>
  <c r="E361" i="14"/>
  <c r="F361" i="14" s="1"/>
  <c r="E343" i="14"/>
  <c r="F343" i="14" s="1"/>
  <c r="E331" i="14"/>
  <c r="F331" i="14" s="1"/>
  <c r="E327" i="14"/>
  <c r="F327" i="14" s="1"/>
  <c r="E299" i="14"/>
  <c r="F299" i="14" s="1"/>
  <c r="E291" i="14"/>
  <c r="F291" i="14" s="1"/>
  <c r="E283" i="14"/>
  <c r="F283" i="14" s="1"/>
  <c r="E275" i="14"/>
  <c r="F275" i="14" s="1"/>
  <c r="E382" i="14"/>
  <c r="F382" i="14" s="1"/>
  <c r="E354" i="14"/>
  <c r="F354" i="14" s="1"/>
  <c r="E344" i="14"/>
  <c r="F344" i="14" s="1"/>
  <c r="E336" i="14"/>
  <c r="F336" i="14" s="1"/>
  <c r="E332" i="14"/>
  <c r="F332" i="14" s="1"/>
  <c r="E328" i="14"/>
  <c r="F328" i="14" s="1"/>
  <c r="E324" i="14"/>
  <c r="F324" i="14" s="1"/>
  <c r="E284" i="14"/>
  <c r="F284" i="14" s="1"/>
  <c r="E276" i="14"/>
  <c r="F276" i="14" s="1"/>
  <c r="E268" i="14"/>
  <c r="F268" i="14" s="1"/>
  <c r="E397" i="14"/>
  <c r="F397" i="14" s="1"/>
  <c r="E385" i="14"/>
  <c r="F385" i="14" s="1"/>
  <c r="E369" i="14"/>
  <c r="F369" i="14" s="1"/>
  <c r="E363" i="14"/>
  <c r="F363" i="14" s="1"/>
  <c r="E337" i="14"/>
  <c r="F337" i="14" s="1"/>
  <c r="E333" i="14"/>
  <c r="F333" i="14" s="1"/>
  <c r="E329" i="14"/>
  <c r="F329" i="14" s="1"/>
  <c r="E309" i="14"/>
  <c r="F309" i="14" s="1"/>
  <c r="E303" i="14"/>
  <c r="F303" i="14" s="1"/>
  <c r="E293" i="14"/>
  <c r="F293" i="14" s="1"/>
  <c r="E285" i="14"/>
  <c r="F285" i="14" s="1"/>
  <c r="E269" i="14"/>
  <c r="F269" i="14" s="1"/>
  <c r="E388" i="14"/>
  <c r="F388" i="14" s="1"/>
  <c r="E378" i="14"/>
  <c r="F378" i="14" s="1"/>
  <c r="E372" i="14"/>
  <c r="F372" i="14" s="1"/>
  <c r="E358" i="14"/>
  <c r="F358" i="14" s="1"/>
  <c r="E352" i="14"/>
  <c r="F352" i="14" s="1"/>
  <c r="E346" i="14"/>
  <c r="F346" i="14" s="1"/>
  <c r="E318" i="14"/>
  <c r="F318" i="14" s="1"/>
  <c r="E312" i="14"/>
  <c r="F312" i="14" s="1"/>
  <c r="E304" i="14"/>
  <c r="F304" i="14" s="1"/>
  <c r="E296" i="14"/>
  <c r="F296" i="14" s="1"/>
  <c r="E288" i="14"/>
  <c r="F288" i="14" s="1"/>
  <c r="E377" i="14"/>
  <c r="F377" i="14" s="1"/>
  <c r="E351" i="14"/>
  <c r="F351" i="14" s="1"/>
  <c r="E315" i="14"/>
  <c r="F315" i="14" s="1"/>
  <c r="E294" i="14"/>
  <c r="F294" i="14" s="1"/>
  <c r="E262" i="14"/>
  <c r="F262" i="14" s="1"/>
  <c r="E254" i="14"/>
  <c r="F254" i="14" s="1"/>
  <c r="E230" i="14"/>
  <c r="F230" i="14" s="1"/>
  <c r="E222" i="14"/>
  <c r="F222" i="14" s="1"/>
  <c r="E214" i="14"/>
  <c r="F214" i="14" s="1"/>
  <c r="E206" i="14"/>
  <c r="F206" i="14" s="1"/>
  <c r="E198" i="14"/>
  <c r="F198" i="14" s="1"/>
  <c r="E190" i="14"/>
  <c r="F190" i="14" s="1"/>
  <c r="E386" i="14"/>
  <c r="F386" i="14" s="1"/>
  <c r="E356" i="14"/>
  <c r="F356" i="14" s="1"/>
  <c r="E322" i="14"/>
  <c r="F322" i="14" s="1"/>
  <c r="E311" i="14"/>
  <c r="F311" i="14" s="1"/>
  <c r="E279" i="14"/>
  <c r="F279" i="14" s="1"/>
  <c r="E263" i="14"/>
  <c r="F263" i="14" s="1"/>
  <c r="E239" i="14"/>
  <c r="F239" i="14" s="1"/>
  <c r="E231" i="14"/>
  <c r="F231" i="14" s="1"/>
  <c r="E223" i="14"/>
  <c r="F223" i="14" s="1"/>
  <c r="E215" i="14"/>
  <c r="F215" i="14" s="1"/>
  <c r="E207" i="14"/>
  <c r="F207" i="14" s="1"/>
  <c r="E199" i="14"/>
  <c r="F199" i="14" s="1"/>
  <c r="E371" i="14"/>
  <c r="F371" i="14" s="1"/>
  <c r="E345" i="14"/>
  <c r="F345" i="14" s="1"/>
  <c r="E286" i="14"/>
  <c r="F286" i="14" s="1"/>
  <c r="E264" i="14"/>
  <c r="F264" i="14" s="1"/>
  <c r="E256" i="14"/>
  <c r="F256" i="14" s="1"/>
  <c r="E248" i="14"/>
  <c r="F248" i="14" s="1"/>
  <c r="E224" i="14"/>
  <c r="F224" i="14" s="1"/>
  <c r="E216" i="14"/>
  <c r="F216" i="14" s="1"/>
  <c r="E208" i="14"/>
  <c r="F208" i="14" s="1"/>
  <c r="E200" i="14"/>
  <c r="F200" i="14" s="1"/>
  <c r="E192" i="14"/>
  <c r="F192" i="14" s="1"/>
  <c r="E184" i="14"/>
  <c r="F184" i="14" s="1"/>
  <c r="E376" i="14"/>
  <c r="F376" i="14" s="1"/>
  <c r="E350" i="14"/>
  <c r="F350" i="14" s="1"/>
  <c r="E339" i="14"/>
  <c r="F339" i="14" s="1"/>
  <c r="E271" i="14"/>
  <c r="F271" i="14" s="1"/>
  <c r="E265" i="14"/>
  <c r="F265" i="14" s="1"/>
  <c r="E257" i="14"/>
  <c r="F257" i="14" s="1"/>
  <c r="E233" i="14"/>
  <c r="F233" i="14" s="1"/>
  <c r="E225" i="14"/>
  <c r="F225" i="14" s="1"/>
  <c r="E217" i="14"/>
  <c r="F217" i="14" s="1"/>
  <c r="E209" i="14"/>
  <c r="F209" i="14" s="1"/>
  <c r="E201" i="14"/>
  <c r="F201" i="14" s="1"/>
  <c r="E193" i="14"/>
  <c r="F193" i="14" s="1"/>
  <c r="E301" i="14"/>
  <c r="F301" i="14" s="1"/>
  <c r="E278" i="14"/>
  <c r="F278" i="14" s="1"/>
  <c r="E266" i="14"/>
  <c r="F266" i="14" s="1"/>
  <c r="E258" i="14"/>
  <c r="F258" i="14" s="1"/>
  <c r="E250" i="14"/>
  <c r="F250" i="14" s="1"/>
  <c r="E242" i="14"/>
  <c r="F242" i="14" s="1"/>
  <c r="E218" i="14"/>
  <c r="F218" i="14" s="1"/>
  <c r="E210" i="14"/>
  <c r="F210" i="14" s="1"/>
  <c r="E202" i="14"/>
  <c r="F202" i="14" s="1"/>
  <c r="E194" i="14"/>
  <c r="F194" i="14" s="1"/>
  <c r="E364" i="14"/>
  <c r="F364" i="14" s="1"/>
  <c r="E334" i="14"/>
  <c r="F334" i="14" s="1"/>
  <c r="E261" i="14"/>
  <c r="F261" i="14" s="1"/>
  <c r="E253" i="14"/>
  <c r="F253" i="14" s="1"/>
  <c r="E245" i="14"/>
  <c r="F245" i="14" s="1"/>
  <c r="E237" i="14"/>
  <c r="F237" i="14" s="1"/>
  <c r="E229" i="14"/>
  <c r="F229" i="14" s="1"/>
  <c r="E221" i="14"/>
  <c r="F221" i="14" s="1"/>
  <c r="E197" i="14"/>
  <c r="F197" i="14" s="1"/>
  <c r="E189" i="14"/>
  <c r="F189" i="14" s="1"/>
  <c r="E181" i="14"/>
  <c r="F181" i="14" s="1"/>
  <c r="E370" i="14"/>
  <c r="F370" i="14" s="1"/>
  <c r="E243" i="14"/>
  <c r="F243" i="14" s="1"/>
  <c r="E211" i="14"/>
  <c r="F211" i="14" s="1"/>
  <c r="E170" i="14"/>
  <c r="F170" i="14" s="1"/>
  <c r="E162" i="14"/>
  <c r="F162" i="14" s="1"/>
  <c r="E154" i="14"/>
  <c r="F154" i="14" s="1"/>
  <c r="E146" i="14"/>
  <c r="F146" i="14" s="1"/>
  <c r="E138" i="14"/>
  <c r="F138" i="14" s="1"/>
  <c r="E130" i="14"/>
  <c r="F130" i="14" s="1"/>
  <c r="E122" i="14"/>
  <c r="F122" i="14" s="1"/>
  <c r="E98" i="14"/>
  <c r="F98" i="14" s="1"/>
  <c r="E90" i="14"/>
  <c r="F90" i="14" s="1"/>
  <c r="E82" i="14"/>
  <c r="F82" i="14" s="1"/>
  <c r="E74" i="14"/>
  <c r="F74" i="14" s="1"/>
  <c r="E387" i="14"/>
  <c r="F387" i="14" s="1"/>
  <c r="E338" i="14"/>
  <c r="F338" i="14" s="1"/>
  <c r="E196" i="14"/>
  <c r="F196" i="14" s="1"/>
  <c r="E171" i="14"/>
  <c r="F171" i="14" s="1"/>
  <c r="E163" i="14"/>
  <c r="F163" i="14" s="1"/>
  <c r="E155" i="14"/>
  <c r="F155" i="14" s="1"/>
  <c r="E147" i="14"/>
  <c r="F147" i="14" s="1"/>
  <c r="E139" i="14"/>
  <c r="F139" i="14" s="1"/>
  <c r="E115" i="14"/>
  <c r="F115" i="14" s="1"/>
  <c r="E107" i="14"/>
  <c r="F107" i="14" s="1"/>
  <c r="E99" i="14"/>
  <c r="F99" i="14" s="1"/>
  <c r="E91" i="14"/>
  <c r="F91" i="14" s="1"/>
  <c r="E295" i="14"/>
  <c r="F295" i="14" s="1"/>
  <c r="E267" i="14"/>
  <c r="F267" i="14" s="1"/>
  <c r="E179" i="14"/>
  <c r="F179" i="14" s="1"/>
  <c r="E172" i="14"/>
  <c r="F172" i="14" s="1"/>
  <c r="E164" i="14"/>
  <c r="F164" i="14" s="1"/>
  <c r="E156" i="14"/>
  <c r="F156" i="14" s="1"/>
  <c r="E148" i="14"/>
  <c r="F148" i="14" s="1"/>
  <c r="E140" i="14"/>
  <c r="F140" i="14" s="1"/>
  <c r="E116" i="14"/>
  <c r="F116" i="14" s="1"/>
  <c r="E108" i="14"/>
  <c r="F108" i="14" s="1"/>
  <c r="E100" i="14"/>
  <c r="F100" i="14" s="1"/>
  <c r="E92" i="14"/>
  <c r="F92" i="14" s="1"/>
  <c r="E84" i="14"/>
  <c r="F84" i="14" s="1"/>
  <c r="E76" i="14"/>
  <c r="F76" i="14" s="1"/>
  <c r="E252" i="14"/>
  <c r="F252" i="14" s="1"/>
  <c r="E220" i="14"/>
  <c r="F220" i="14" s="1"/>
  <c r="E188" i="14"/>
  <c r="F188" i="14" s="1"/>
  <c r="E186" i="14"/>
  <c r="F186" i="14" s="1"/>
  <c r="E165" i="14"/>
  <c r="F165" i="14" s="1"/>
  <c r="E157" i="14"/>
  <c r="F157" i="14" s="1"/>
  <c r="E149" i="14"/>
  <c r="F149" i="14" s="1"/>
  <c r="E133" i="14"/>
  <c r="F133" i="14" s="1"/>
  <c r="E125" i="14"/>
  <c r="F125" i="14" s="1"/>
  <c r="E117" i="14"/>
  <c r="F117" i="14" s="1"/>
  <c r="E109" i="14"/>
  <c r="F109" i="14" s="1"/>
  <c r="E101" i="14"/>
  <c r="F101" i="14" s="1"/>
  <c r="E93" i="14"/>
  <c r="F93" i="14" s="1"/>
  <c r="E85" i="14"/>
  <c r="F85" i="14" s="1"/>
  <c r="E400" i="14"/>
  <c r="F400" i="14" s="1"/>
  <c r="E393" i="14"/>
  <c r="F393" i="14" s="1"/>
  <c r="E306" i="14"/>
  <c r="F306" i="14" s="1"/>
  <c r="E259" i="14"/>
  <c r="F259" i="14" s="1"/>
  <c r="E227" i="14"/>
  <c r="F227" i="14" s="1"/>
  <c r="E195" i="14"/>
  <c r="F195" i="14" s="1"/>
  <c r="E177" i="14"/>
  <c r="F177" i="14" s="1"/>
  <c r="E166" i="14"/>
  <c r="F166" i="14" s="1"/>
  <c r="E158" i="14"/>
  <c r="F158" i="14" s="1"/>
  <c r="E150" i="14"/>
  <c r="F150" i="14" s="1"/>
  <c r="E142" i="14"/>
  <c r="F142" i="14" s="1"/>
  <c r="E134" i="14"/>
  <c r="F134" i="14" s="1"/>
  <c r="E126" i="14"/>
  <c r="F126" i="14" s="1"/>
  <c r="E118" i="14"/>
  <c r="F118" i="14" s="1"/>
  <c r="E102" i="14"/>
  <c r="F102" i="14" s="1"/>
  <c r="E94" i="14"/>
  <c r="F94" i="14" s="1"/>
  <c r="E86" i="14"/>
  <c r="F86" i="14" s="1"/>
  <c r="E236" i="14"/>
  <c r="F236" i="14" s="1"/>
  <c r="E204" i="14"/>
  <c r="F204" i="14" s="1"/>
  <c r="E185" i="14"/>
  <c r="F185" i="14" s="1"/>
  <c r="E178" i="14"/>
  <c r="F178" i="14" s="1"/>
  <c r="E161" i="14"/>
  <c r="F161" i="14" s="1"/>
  <c r="E153" i="14"/>
  <c r="F153" i="14" s="1"/>
  <c r="E145" i="14"/>
  <c r="F145" i="14" s="1"/>
  <c r="E137" i="14"/>
  <c r="F137" i="14" s="1"/>
  <c r="E129" i="14"/>
  <c r="F129" i="14" s="1"/>
  <c r="E121" i="14"/>
  <c r="F121" i="14" s="1"/>
  <c r="E113" i="14"/>
  <c r="F113" i="14" s="1"/>
  <c r="E97" i="14"/>
  <c r="F97" i="14" s="1"/>
  <c r="E89" i="14"/>
  <c r="F89" i="14" s="1"/>
  <c r="E81" i="14"/>
  <c r="F81" i="14" s="1"/>
  <c r="E23" i="14"/>
  <c r="F23" i="14" s="1"/>
  <c r="E96" i="14"/>
  <c r="F96" i="14" s="1"/>
  <c r="I8" i="14"/>
  <c r="E13" i="14"/>
  <c r="F13" i="14" s="1"/>
  <c r="I16" i="14"/>
  <c r="E21" i="14"/>
  <c r="F21" i="14" s="1"/>
  <c r="I24" i="14"/>
  <c r="I28" i="14"/>
  <c r="E33" i="14"/>
  <c r="F33" i="14" s="1"/>
  <c r="I36" i="14"/>
  <c r="J36" i="14" s="1"/>
  <c r="E41" i="14"/>
  <c r="F41" i="14" s="1"/>
  <c r="I44" i="14"/>
  <c r="I52" i="14"/>
  <c r="E57" i="14"/>
  <c r="F57" i="14" s="1"/>
  <c r="I60" i="14"/>
  <c r="E65" i="14"/>
  <c r="F65" i="14" s="1"/>
  <c r="E70" i="14"/>
  <c r="F70" i="14" s="1"/>
  <c r="E79" i="14"/>
  <c r="F79" i="14" s="1"/>
  <c r="I82" i="14"/>
  <c r="I106" i="14"/>
  <c r="E136" i="14"/>
  <c r="F136" i="14" s="1"/>
  <c r="I138" i="14"/>
  <c r="E168" i="14"/>
  <c r="F168" i="14" s="1"/>
  <c r="I170" i="14"/>
  <c r="J170" i="14" s="1"/>
  <c r="I175" i="14"/>
  <c r="E212" i="14"/>
  <c r="F212" i="14" s="1"/>
  <c r="I246" i="14"/>
  <c r="E7" i="14"/>
  <c r="F7" i="14" s="1"/>
  <c r="E59" i="14"/>
  <c r="F59" i="14" s="1"/>
  <c r="I7" i="14"/>
  <c r="J7" i="14" s="1"/>
  <c r="E12" i="14"/>
  <c r="F12" i="14" s="1"/>
  <c r="I15" i="14"/>
  <c r="E20" i="14"/>
  <c r="F20" i="14" s="1"/>
  <c r="I23" i="14"/>
  <c r="I35" i="14"/>
  <c r="E40" i="14"/>
  <c r="F40" i="14" s="1"/>
  <c r="I43" i="14"/>
  <c r="J43" i="14" s="1"/>
  <c r="E48" i="14"/>
  <c r="F48" i="14" s="1"/>
  <c r="I51" i="14"/>
  <c r="E56" i="14"/>
  <c r="F56" i="14" s="1"/>
  <c r="I59" i="14"/>
  <c r="I67" i="14"/>
  <c r="E73" i="14"/>
  <c r="F73" i="14" s="1"/>
  <c r="I74" i="14"/>
  <c r="J74" i="14" s="1"/>
  <c r="E87" i="14"/>
  <c r="F87" i="14" s="1"/>
  <c r="I99" i="14"/>
  <c r="E119" i="14"/>
  <c r="F119" i="14" s="1"/>
  <c r="I131" i="14"/>
  <c r="E219" i="14"/>
  <c r="F219" i="14" s="1"/>
  <c r="E357" i="14"/>
  <c r="F357" i="14" s="1"/>
  <c r="E35" i="14"/>
  <c r="F35" i="14" s="1"/>
  <c r="E71" i="14"/>
  <c r="F71" i="14" s="1"/>
  <c r="I399" i="14"/>
  <c r="I382" i="14"/>
  <c r="I368" i="14"/>
  <c r="I362" i="14"/>
  <c r="I354" i="14"/>
  <c r="I349" i="14"/>
  <c r="I336" i="14"/>
  <c r="I332" i="14"/>
  <c r="I328" i="14"/>
  <c r="I305" i="14"/>
  <c r="I292" i="14"/>
  <c r="I284" i="14"/>
  <c r="I276" i="14"/>
  <c r="I268" i="14"/>
  <c r="I392" i="14"/>
  <c r="I385" i="14"/>
  <c r="I383" i="14"/>
  <c r="I375" i="14"/>
  <c r="I369" i="14"/>
  <c r="I363" i="14"/>
  <c r="I355" i="14"/>
  <c r="I344" i="14"/>
  <c r="I337" i="14"/>
  <c r="I333" i="14"/>
  <c r="I324" i="14"/>
  <c r="I321" i="14"/>
  <c r="I314" i="14"/>
  <c r="I309" i="14"/>
  <c r="I300" i="14"/>
  <c r="I293" i="14"/>
  <c r="I285" i="14"/>
  <c r="I277" i="14"/>
  <c r="I400" i="14"/>
  <c r="I397" i="14"/>
  <c r="I386" i="14"/>
  <c r="I376" i="14"/>
  <c r="I370" i="14"/>
  <c r="I364" i="14"/>
  <c r="I356" i="14"/>
  <c r="I350" i="14"/>
  <c r="I338" i="14"/>
  <c r="I329" i="14"/>
  <c r="I317" i="14"/>
  <c r="I310" i="14"/>
  <c r="I303" i="14"/>
  <c r="I294" i="14"/>
  <c r="I286" i="14"/>
  <c r="I278" i="14"/>
  <c r="I270" i="14"/>
  <c r="I401" i="14"/>
  <c r="I393" i="14"/>
  <c r="I387" i="14"/>
  <c r="I377" i="14"/>
  <c r="I371" i="14"/>
  <c r="I357" i="14"/>
  <c r="I351" i="14"/>
  <c r="I345" i="14"/>
  <c r="I339" i="14"/>
  <c r="I334" i="14"/>
  <c r="I325" i="14"/>
  <c r="I322" i="14"/>
  <c r="I311" i="14"/>
  <c r="I306" i="14"/>
  <c r="I295" i="14"/>
  <c r="I287" i="14"/>
  <c r="I279" i="14"/>
  <c r="I271" i="14"/>
  <c r="I394" i="14"/>
  <c r="I388" i="14"/>
  <c r="I378" i="14"/>
  <c r="I372" i="14"/>
  <c r="I365" i="14"/>
  <c r="I358" i="14"/>
  <c r="I352" i="14"/>
  <c r="I346" i="14"/>
  <c r="I340" i="14"/>
  <c r="I318" i="14"/>
  <c r="I315" i="14"/>
  <c r="I301" i="14"/>
  <c r="I296" i="14"/>
  <c r="I288" i="14"/>
  <c r="I280" i="14"/>
  <c r="I272" i="14"/>
  <c r="I396" i="14"/>
  <c r="I391" i="14"/>
  <c r="I381" i="14"/>
  <c r="I374" i="14"/>
  <c r="I367" i="14"/>
  <c r="I361" i="14"/>
  <c r="I343" i="14"/>
  <c r="I331" i="14"/>
  <c r="I327" i="14"/>
  <c r="I320" i="14"/>
  <c r="I316" i="14"/>
  <c r="I313" i="14"/>
  <c r="I308" i="14"/>
  <c r="I302" i="14"/>
  <c r="I299" i="14"/>
  <c r="I291" i="14"/>
  <c r="I283" i="14"/>
  <c r="I275" i="14"/>
  <c r="I398" i="14"/>
  <c r="I379" i="14"/>
  <c r="I342" i="14"/>
  <c r="I323" i="14"/>
  <c r="I319" i="14"/>
  <c r="I274" i="14"/>
  <c r="I265" i="14"/>
  <c r="I257" i="14"/>
  <c r="I249" i="14"/>
  <c r="I241" i="14"/>
  <c r="I233" i="14"/>
  <c r="I225" i="14"/>
  <c r="I217" i="14"/>
  <c r="I209" i="14"/>
  <c r="I201" i="14"/>
  <c r="I193" i="14"/>
  <c r="I185" i="14"/>
  <c r="I177" i="14"/>
  <c r="I366" i="14"/>
  <c r="I353" i="14"/>
  <c r="I330" i="14"/>
  <c r="I326" i="14"/>
  <c r="I281" i="14"/>
  <c r="I266" i="14"/>
  <c r="I258" i="14"/>
  <c r="I250" i="14"/>
  <c r="I242" i="14"/>
  <c r="I234" i="14"/>
  <c r="I226" i="14"/>
  <c r="I218" i="14"/>
  <c r="I210" i="14"/>
  <c r="I202" i="14"/>
  <c r="I194" i="14"/>
  <c r="I186" i="14"/>
  <c r="I178" i="14"/>
  <c r="I373" i="14"/>
  <c r="I347" i="14"/>
  <c r="I298" i="14"/>
  <c r="I269" i="14"/>
  <c r="I267" i="14"/>
  <c r="I259" i="14"/>
  <c r="I251" i="14"/>
  <c r="I243" i="14"/>
  <c r="I235" i="14"/>
  <c r="I227" i="14"/>
  <c r="I219" i="14"/>
  <c r="I211" i="14"/>
  <c r="I203" i="14"/>
  <c r="I195" i="14"/>
  <c r="I187" i="14"/>
  <c r="I179" i="14"/>
  <c r="I390" i="14"/>
  <c r="I360" i="14"/>
  <c r="I341" i="14"/>
  <c r="I307" i="14"/>
  <c r="I273" i="14"/>
  <c r="I260" i="14"/>
  <c r="I252" i="14"/>
  <c r="I244" i="14"/>
  <c r="I236" i="14"/>
  <c r="I228" i="14"/>
  <c r="I220" i="14"/>
  <c r="I212" i="14"/>
  <c r="I204" i="14"/>
  <c r="I196" i="14"/>
  <c r="I188" i="14"/>
  <c r="I312" i="14"/>
  <c r="I290" i="14"/>
  <c r="I261" i="14"/>
  <c r="I253" i="14"/>
  <c r="I245" i="14"/>
  <c r="I237" i="14"/>
  <c r="I229" i="14"/>
  <c r="I221" i="14"/>
  <c r="I213" i="14"/>
  <c r="I205" i="14"/>
  <c r="I197" i="14"/>
  <c r="I189" i="14"/>
  <c r="I348" i="14"/>
  <c r="I304" i="14"/>
  <c r="I289" i="14"/>
  <c r="I264" i="14"/>
  <c r="I256" i="14"/>
  <c r="I248" i="14"/>
  <c r="I240" i="14"/>
  <c r="I232" i="14"/>
  <c r="I224" i="14"/>
  <c r="I216" i="14"/>
  <c r="I208" i="14"/>
  <c r="I200" i="14"/>
  <c r="I192" i="14"/>
  <c r="I184" i="14"/>
  <c r="I255" i="14"/>
  <c r="I223" i="14"/>
  <c r="I191" i="14"/>
  <c r="I176" i="14"/>
  <c r="I165" i="14"/>
  <c r="I157" i="14"/>
  <c r="I149" i="14"/>
  <c r="I141" i="14"/>
  <c r="I133" i="14"/>
  <c r="I125" i="14"/>
  <c r="I117" i="14"/>
  <c r="I109" i="14"/>
  <c r="I101" i="14"/>
  <c r="I93" i="14"/>
  <c r="I85" i="14"/>
  <c r="I77" i="14"/>
  <c r="I69" i="14"/>
  <c r="I262" i="14"/>
  <c r="I230" i="14"/>
  <c r="I198" i="14"/>
  <c r="I173" i="14"/>
  <c r="I166" i="14"/>
  <c r="I158" i="14"/>
  <c r="I150" i="14"/>
  <c r="I142" i="14"/>
  <c r="I134" i="14"/>
  <c r="I126" i="14"/>
  <c r="I118" i="14"/>
  <c r="I110" i="14"/>
  <c r="I102" i="14"/>
  <c r="I94" i="14"/>
  <c r="I86" i="14"/>
  <c r="I389" i="14"/>
  <c r="I247" i="14"/>
  <c r="I215" i="14"/>
  <c r="I167" i="14"/>
  <c r="I159" i="14"/>
  <c r="I151" i="14"/>
  <c r="I143" i="14"/>
  <c r="I135" i="14"/>
  <c r="I127" i="14"/>
  <c r="I119" i="14"/>
  <c r="I111" i="14"/>
  <c r="I103" i="14"/>
  <c r="I95" i="14"/>
  <c r="I87" i="14"/>
  <c r="I79" i="14"/>
  <c r="I71" i="14"/>
  <c r="I380" i="14"/>
  <c r="I254" i="14"/>
  <c r="I222" i="14"/>
  <c r="I190" i="14"/>
  <c r="I182" i="14"/>
  <c r="I180" i="14"/>
  <c r="I174" i="14"/>
  <c r="I168" i="14"/>
  <c r="I160" i="14"/>
  <c r="I152" i="14"/>
  <c r="I144" i="14"/>
  <c r="I136" i="14"/>
  <c r="I128" i="14"/>
  <c r="I120" i="14"/>
  <c r="I112" i="14"/>
  <c r="I104" i="14"/>
  <c r="I96" i="14"/>
  <c r="I88" i="14"/>
  <c r="I80" i="14"/>
  <c r="I297" i="14"/>
  <c r="I239" i="14"/>
  <c r="J239" i="14" s="1"/>
  <c r="I207" i="14"/>
  <c r="I169" i="14"/>
  <c r="I161" i="14"/>
  <c r="I153" i="14"/>
  <c r="I145" i="14"/>
  <c r="I137" i="14"/>
  <c r="I129" i="14"/>
  <c r="I121" i="14"/>
  <c r="J121" i="14" s="1"/>
  <c r="I113" i="14"/>
  <c r="I105" i="14"/>
  <c r="I97" i="14"/>
  <c r="I89" i="14"/>
  <c r="I335" i="14"/>
  <c r="I282" i="14"/>
  <c r="I238" i="14"/>
  <c r="I206" i="14"/>
  <c r="J206" i="14" s="1"/>
  <c r="I183" i="14"/>
  <c r="I181" i="14"/>
  <c r="I172" i="14"/>
  <c r="I164" i="14"/>
  <c r="I156" i="14"/>
  <c r="I148" i="14"/>
  <c r="I140" i="14"/>
  <c r="I132" i="14"/>
  <c r="J132" i="14" s="1"/>
  <c r="I124" i="14"/>
  <c r="I116" i="14"/>
  <c r="I108" i="14"/>
  <c r="I100" i="14"/>
  <c r="I92" i="14"/>
  <c r="I84" i="14"/>
  <c r="I6" i="14"/>
  <c r="E11" i="14"/>
  <c r="F11" i="14" s="1"/>
  <c r="I14" i="14"/>
  <c r="E19" i="14"/>
  <c r="F19" i="14" s="1"/>
  <c r="I22" i="14"/>
  <c r="E31" i="14"/>
  <c r="F31" i="14" s="1"/>
  <c r="I34" i="14"/>
  <c r="I42" i="14"/>
  <c r="E47" i="14"/>
  <c r="F47" i="14" s="1"/>
  <c r="I50" i="14"/>
  <c r="E55" i="14"/>
  <c r="F55" i="14" s="1"/>
  <c r="I58" i="14"/>
  <c r="E63" i="14"/>
  <c r="F63" i="14" s="1"/>
  <c r="I66" i="14"/>
  <c r="I114" i="14"/>
  <c r="E144" i="14"/>
  <c r="F144" i="14" s="1"/>
  <c r="I146" i="14"/>
  <c r="E244" i="14"/>
  <c r="F244" i="14" s="1"/>
  <c r="E15" i="14"/>
  <c r="F15" i="14" s="1"/>
  <c r="E10" i="14"/>
  <c r="F10" i="14" s="1"/>
  <c r="I13" i="14"/>
  <c r="I21" i="14"/>
  <c r="E30" i="14"/>
  <c r="F30" i="14" s="1"/>
  <c r="I33" i="14"/>
  <c r="E38" i="14"/>
  <c r="F38" i="14" s="1"/>
  <c r="I41" i="14"/>
  <c r="E46" i="14"/>
  <c r="F46" i="14" s="1"/>
  <c r="I49" i="14"/>
  <c r="I57" i="14"/>
  <c r="E62" i="14"/>
  <c r="F62" i="14" s="1"/>
  <c r="I65" i="14"/>
  <c r="E69" i="14"/>
  <c r="F69" i="14" s="1"/>
  <c r="I70" i="14"/>
  <c r="I76" i="14"/>
  <c r="E78" i="14"/>
  <c r="F78" i="14" s="1"/>
  <c r="E95" i="14"/>
  <c r="F95" i="14" s="1"/>
  <c r="I107" i="14"/>
  <c r="E127" i="14"/>
  <c r="F127" i="14" s="1"/>
  <c r="I139" i="14"/>
  <c r="E159" i="14"/>
  <c r="F159" i="14" s="1"/>
  <c r="I171" i="14"/>
  <c r="I199" i="14"/>
  <c r="I384" i="14"/>
  <c r="E384" i="14"/>
  <c r="F384" i="14" s="1"/>
  <c r="H53" i="43"/>
  <c r="H59" i="43"/>
  <c r="I47" i="14" l="1"/>
  <c r="I83" i="14"/>
  <c r="I162" i="14"/>
  <c r="J162" i="14" s="1"/>
  <c r="L162" i="14" s="1"/>
  <c r="E326" i="14"/>
  <c r="F326" i="14" s="1"/>
  <c r="E277" i="14"/>
  <c r="F277" i="14" s="1"/>
  <c r="E355" i="14"/>
  <c r="F355" i="14" s="1"/>
  <c r="E292" i="14"/>
  <c r="F292" i="14" s="1"/>
  <c r="E392" i="14"/>
  <c r="F392" i="14" s="1"/>
  <c r="L392" i="14" s="1"/>
  <c r="E349" i="14"/>
  <c r="F349" i="14" s="1"/>
  <c r="E374" i="14"/>
  <c r="F374" i="14" s="1"/>
  <c r="I263" i="14"/>
  <c r="E58" i="14"/>
  <c r="F58" i="14" s="1"/>
  <c r="E6" i="14"/>
  <c r="I56" i="14"/>
  <c r="E80" i="14"/>
  <c r="F80" i="14" s="1"/>
  <c r="I10" i="14"/>
  <c r="J10" i="14" s="1"/>
  <c r="L10" i="14" s="1"/>
  <c r="I11" i="14"/>
  <c r="I27" i="14"/>
  <c r="E44" i="14"/>
  <c r="F44" i="14" s="1"/>
  <c r="E135" i="14"/>
  <c r="F135" i="14" s="1"/>
  <c r="J268" i="14"/>
  <c r="J128" i="14"/>
  <c r="J95" i="14"/>
  <c r="L95" i="14" s="1"/>
  <c r="J159" i="14"/>
  <c r="J110" i="14"/>
  <c r="J101" i="14"/>
  <c r="J165" i="14"/>
  <c r="J289" i="14"/>
  <c r="J229" i="14"/>
  <c r="J196" i="14"/>
  <c r="L196" i="14" s="1"/>
  <c r="J260" i="14"/>
  <c r="L260" i="14" s="1"/>
  <c r="J259" i="14"/>
  <c r="J194" i="14"/>
  <c r="J185" i="14"/>
  <c r="J398" i="14"/>
  <c r="J381" i="14"/>
  <c r="J378" i="14"/>
  <c r="J371" i="14"/>
  <c r="L371" i="14" s="1"/>
  <c r="J364" i="14"/>
  <c r="L364" i="14" s="1"/>
  <c r="J344" i="14"/>
  <c r="J21" i="14"/>
  <c r="E183" i="14"/>
  <c r="F183" i="14" s="1"/>
  <c r="E375" i="14"/>
  <c r="F375" i="14" s="1"/>
  <c r="J130" i="14"/>
  <c r="J182" i="14"/>
  <c r="J173" i="14"/>
  <c r="L173" i="14" s="1"/>
  <c r="J208" i="14"/>
  <c r="L208" i="14" s="1"/>
  <c r="J195" i="14"/>
  <c r="J258" i="14"/>
  <c r="J249" i="14"/>
  <c r="J316" i="14"/>
  <c r="J315" i="14"/>
  <c r="J311" i="14"/>
  <c r="J294" i="14"/>
  <c r="L294" i="14" s="1"/>
  <c r="J293" i="14"/>
  <c r="L293" i="14" s="1"/>
  <c r="J349" i="14"/>
  <c r="J384" i="14"/>
  <c r="J57" i="14"/>
  <c r="E124" i="14"/>
  <c r="F124" i="14" s="1"/>
  <c r="E203" i="14"/>
  <c r="F203" i="14" s="1"/>
  <c r="E123" i="14"/>
  <c r="F123" i="14" s="1"/>
  <c r="E228" i="14"/>
  <c r="F228" i="14" s="1"/>
  <c r="E106" i="14"/>
  <c r="F106" i="14" s="1"/>
  <c r="L106" i="14" s="1"/>
  <c r="E205" i="14"/>
  <c r="F205" i="14" s="1"/>
  <c r="E270" i="14"/>
  <c r="F270" i="14" s="1"/>
  <c r="E226" i="14"/>
  <c r="F226" i="14" s="1"/>
  <c r="E310" i="14"/>
  <c r="F310" i="14" s="1"/>
  <c r="E241" i="14"/>
  <c r="F241" i="14" s="1"/>
  <c r="E401" i="14"/>
  <c r="F401" i="14" s="1"/>
  <c r="E232" i="14"/>
  <c r="F232" i="14" s="1"/>
  <c r="E247" i="14"/>
  <c r="F247" i="14" s="1"/>
  <c r="E174" i="14"/>
  <c r="F174" i="14" s="1"/>
  <c r="E238" i="14"/>
  <c r="F238" i="14" s="1"/>
  <c r="E272" i="14"/>
  <c r="F272" i="14" s="1"/>
  <c r="E330" i="14"/>
  <c r="F330" i="14" s="1"/>
  <c r="E394" i="14"/>
  <c r="F394" i="14" s="1"/>
  <c r="E317" i="14"/>
  <c r="F317" i="14" s="1"/>
  <c r="E300" i="14"/>
  <c r="F300" i="14" s="1"/>
  <c r="L300" i="14" s="1"/>
  <c r="E362" i="14"/>
  <c r="F362" i="14" s="1"/>
  <c r="L362" i="14" s="1"/>
  <c r="E305" i="14"/>
  <c r="F305" i="14" s="1"/>
  <c r="E381" i="14"/>
  <c r="F381" i="14" s="1"/>
  <c r="E380" i="14"/>
  <c r="F380" i="14" s="1"/>
  <c r="E66" i="14"/>
  <c r="F66" i="14" s="1"/>
  <c r="E251" i="14"/>
  <c r="F251" i="14" s="1"/>
  <c r="E83" i="14"/>
  <c r="F83" i="14" s="1"/>
  <c r="E54" i="14"/>
  <c r="F54" i="14" s="1"/>
  <c r="E18" i="14"/>
  <c r="F18" i="14" s="1"/>
  <c r="E112" i="14"/>
  <c r="F112" i="14" s="1"/>
  <c r="E39" i="14"/>
  <c r="F39" i="14" s="1"/>
  <c r="E151" i="14"/>
  <c r="F151" i="14" s="1"/>
  <c r="E64" i="14"/>
  <c r="F64" i="14" s="1"/>
  <c r="E32" i="14"/>
  <c r="F32" i="14" s="1"/>
  <c r="E104" i="14"/>
  <c r="F104" i="14" s="1"/>
  <c r="E49" i="14"/>
  <c r="F49" i="14" s="1"/>
  <c r="E105" i="14"/>
  <c r="F105" i="14" s="1"/>
  <c r="L105" i="14" s="1"/>
  <c r="E169" i="14"/>
  <c r="F169" i="14" s="1"/>
  <c r="E110" i="14"/>
  <c r="F110" i="14" s="1"/>
  <c r="E173" i="14"/>
  <c r="F173" i="14" s="1"/>
  <c r="E77" i="14"/>
  <c r="F77" i="14" s="1"/>
  <c r="E141" i="14"/>
  <c r="F141" i="14" s="1"/>
  <c r="E68" i="14"/>
  <c r="F68" i="14" s="1"/>
  <c r="E132" i="14"/>
  <c r="F132" i="14" s="1"/>
  <c r="L132" i="14" s="1"/>
  <c r="E235" i="14"/>
  <c r="F235" i="14" s="1"/>
  <c r="L235" i="14" s="1"/>
  <c r="E131" i="14"/>
  <c r="F131" i="14" s="1"/>
  <c r="E260" i="14"/>
  <c r="F260" i="14" s="1"/>
  <c r="E114" i="14"/>
  <c r="F114" i="14" s="1"/>
  <c r="E175" i="14"/>
  <c r="F175" i="14" s="1"/>
  <c r="E213" i="14"/>
  <c r="F213" i="14" s="1"/>
  <c r="E287" i="14"/>
  <c r="F287" i="14" s="1"/>
  <c r="E234" i="14"/>
  <c r="F234" i="14" s="1"/>
  <c r="E365" i="14"/>
  <c r="F365" i="14" s="1"/>
  <c r="E249" i="14"/>
  <c r="F249" i="14" s="1"/>
  <c r="E176" i="14"/>
  <c r="F176" i="14" s="1"/>
  <c r="E240" i="14"/>
  <c r="F240" i="14" s="1"/>
  <c r="E191" i="14"/>
  <c r="F191" i="14" s="1"/>
  <c r="E255" i="14"/>
  <c r="F255" i="14" s="1"/>
  <c r="E182" i="14"/>
  <c r="F182" i="14" s="1"/>
  <c r="E246" i="14"/>
  <c r="F246" i="14" s="1"/>
  <c r="E280" i="14"/>
  <c r="F280" i="14" s="1"/>
  <c r="E340" i="14"/>
  <c r="F340" i="14" s="1"/>
  <c r="E398" i="14"/>
  <c r="F398" i="14" s="1"/>
  <c r="E321" i="14"/>
  <c r="F321" i="14" s="1"/>
  <c r="E383" i="14"/>
  <c r="F383" i="14" s="1"/>
  <c r="E314" i="14"/>
  <c r="F314" i="14" s="1"/>
  <c r="E368" i="14"/>
  <c r="F368" i="14" s="1"/>
  <c r="E313" i="14"/>
  <c r="F313" i="14" s="1"/>
  <c r="L313" i="14" s="1"/>
  <c r="E282" i="14"/>
  <c r="F282" i="14" s="1"/>
  <c r="L282" i="14" s="1"/>
  <c r="E281" i="14"/>
  <c r="F281" i="14" s="1"/>
  <c r="E9" i="14"/>
  <c r="F9" i="14" s="1"/>
  <c r="E373" i="14"/>
  <c r="F373" i="14" s="1"/>
  <c r="I91" i="14"/>
  <c r="E34" i="14"/>
  <c r="F34" i="14" s="1"/>
  <c r="E152" i="14"/>
  <c r="F152" i="14" s="1"/>
  <c r="E53" i="14"/>
  <c r="F53" i="14" s="1"/>
  <c r="I55" i="14"/>
  <c r="J55" i="14" s="1"/>
  <c r="L55" i="14" s="1"/>
  <c r="I147" i="14"/>
  <c r="E180" i="14"/>
  <c r="F180" i="14" s="1"/>
  <c r="I75" i="14"/>
  <c r="J75" i="14" s="1"/>
  <c r="E8" i="14"/>
  <c r="F8" i="14" s="1"/>
  <c r="J42" i="14"/>
  <c r="J297" i="14"/>
  <c r="L297" i="14" s="1"/>
  <c r="J198" i="14"/>
  <c r="L198" i="14" s="1"/>
  <c r="J237" i="14"/>
  <c r="L237" i="14" s="1"/>
  <c r="J202" i="14"/>
  <c r="J257" i="14"/>
  <c r="J391" i="14"/>
  <c r="J303" i="14"/>
  <c r="J276" i="14"/>
  <c r="J17" i="14"/>
  <c r="L17" i="14" s="1"/>
  <c r="J199" i="14"/>
  <c r="L199" i="14" s="1"/>
  <c r="J49" i="14"/>
  <c r="J13" i="14"/>
  <c r="J84" i="14"/>
  <c r="L84" i="14" s="1"/>
  <c r="J148" i="14"/>
  <c r="L148" i="14" s="1"/>
  <c r="J282" i="14"/>
  <c r="J137" i="14"/>
  <c r="J80" i="14"/>
  <c r="J144" i="14"/>
  <c r="L144" i="14" s="1"/>
  <c r="J222" i="14"/>
  <c r="L222" i="14" s="1"/>
  <c r="J111" i="14"/>
  <c r="J215" i="14"/>
  <c r="L215" i="14" s="1"/>
  <c r="J126" i="14"/>
  <c r="L126" i="14" s="1"/>
  <c r="J230" i="14"/>
  <c r="J117" i="14"/>
  <c r="J191" i="14"/>
  <c r="L191" i="14" s="1"/>
  <c r="J224" i="14"/>
  <c r="L224" i="14" s="1"/>
  <c r="J348" i="14"/>
  <c r="L348" i="14" s="1"/>
  <c r="J245" i="14"/>
  <c r="J212" i="14"/>
  <c r="L212" i="14" s="1"/>
  <c r="J307" i="14"/>
  <c r="L307" i="14" s="1"/>
  <c r="J211" i="14"/>
  <c r="J269" i="14"/>
  <c r="J210" i="14"/>
  <c r="L210" i="14" s="1"/>
  <c r="J281" i="14"/>
  <c r="L281" i="14" s="1"/>
  <c r="J201" i="14"/>
  <c r="L201" i="14" s="1"/>
  <c r="J265" i="14"/>
  <c r="J283" i="14"/>
  <c r="L283" i="14" s="1"/>
  <c r="J327" i="14"/>
  <c r="L327" i="14" s="1"/>
  <c r="J396" i="14"/>
  <c r="J340" i="14"/>
  <c r="J394" i="14"/>
  <c r="L394" i="14" s="1"/>
  <c r="J325" i="14"/>
  <c r="J387" i="14"/>
  <c r="L387" i="14" s="1"/>
  <c r="J310" i="14"/>
  <c r="J376" i="14"/>
  <c r="J309" i="14"/>
  <c r="L309" i="14" s="1"/>
  <c r="J363" i="14"/>
  <c r="J284" i="14"/>
  <c r="J362" i="14"/>
  <c r="J67" i="14"/>
  <c r="J35" i="14"/>
  <c r="L35" i="14" s="1"/>
  <c r="J138" i="14"/>
  <c r="J60" i="14"/>
  <c r="J28" i="14"/>
  <c r="I98" i="14"/>
  <c r="J98" i="14" s="1"/>
  <c r="I78" i="14"/>
  <c r="I46" i="14"/>
  <c r="J46" i="14" s="1"/>
  <c r="L46" i="14" s="1"/>
  <c r="J136" i="14"/>
  <c r="L136" i="14" s="1"/>
  <c r="J176" i="14"/>
  <c r="L176" i="14" s="1"/>
  <c r="J203" i="14"/>
  <c r="J193" i="14"/>
  <c r="J318" i="14"/>
  <c r="L318" i="14" s="1"/>
  <c r="J300" i="14"/>
  <c r="J76" i="14"/>
  <c r="J66" i="14"/>
  <c r="J92" i="14"/>
  <c r="L92" i="14" s="1"/>
  <c r="J335" i="14"/>
  <c r="J88" i="14"/>
  <c r="J254" i="14"/>
  <c r="L254" i="14" s="1"/>
  <c r="J247" i="14"/>
  <c r="J262" i="14"/>
  <c r="J223" i="14"/>
  <c r="J232" i="14"/>
  <c r="J189" i="14"/>
  <c r="L189" i="14" s="1"/>
  <c r="J220" i="14"/>
  <c r="L220" i="14" s="1"/>
  <c r="J341" i="14"/>
  <c r="J219" i="14"/>
  <c r="L219" i="14" s="1"/>
  <c r="J298" i="14"/>
  <c r="J218" i="14"/>
  <c r="J326" i="14"/>
  <c r="J209" i="14"/>
  <c r="L209" i="14" s="1"/>
  <c r="J274" i="14"/>
  <c r="J291" i="14"/>
  <c r="L291" i="14" s="1"/>
  <c r="J331" i="14"/>
  <c r="J272" i="14"/>
  <c r="L272" i="14" s="1"/>
  <c r="J346" i="14"/>
  <c r="L346" i="14" s="1"/>
  <c r="J271" i="14"/>
  <c r="J334" i="14"/>
  <c r="J393" i="14"/>
  <c r="L393" i="14" s="1"/>
  <c r="J317" i="14"/>
  <c r="L317" i="14" s="1"/>
  <c r="J386" i="14"/>
  <c r="L386" i="14" s="1"/>
  <c r="J314" i="14"/>
  <c r="J369" i="14"/>
  <c r="L369" i="14" s="1"/>
  <c r="J292" i="14"/>
  <c r="J368" i="14"/>
  <c r="J24" i="14"/>
  <c r="J32" i="14"/>
  <c r="L32" i="14" s="1"/>
  <c r="I54" i="14"/>
  <c r="J54" i="14" s="1"/>
  <c r="L54" i="14" s="1"/>
  <c r="I63" i="14"/>
  <c r="J63" i="14" s="1"/>
  <c r="L63" i="14" s="1"/>
  <c r="I39" i="14"/>
  <c r="J39" i="14" s="1"/>
  <c r="L39" i="14" s="1"/>
  <c r="J114" i="14"/>
  <c r="J129" i="14"/>
  <c r="L129" i="14" s="1"/>
  <c r="J103" i="14"/>
  <c r="J109" i="14"/>
  <c r="J204" i="14"/>
  <c r="L204" i="14" s="1"/>
  <c r="J266" i="14"/>
  <c r="L266" i="14" s="1"/>
  <c r="J320" i="14"/>
  <c r="J322" i="14"/>
  <c r="L322" i="14" s="1"/>
  <c r="J355" i="14"/>
  <c r="J171" i="14"/>
  <c r="J34" i="14"/>
  <c r="J156" i="14"/>
  <c r="J145" i="14"/>
  <c r="L145" i="14" s="1"/>
  <c r="J152" i="14"/>
  <c r="J119" i="14"/>
  <c r="L119" i="14" s="1"/>
  <c r="J134" i="14"/>
  <c r="L134" i="14" s="1"/>
  <c r="J125" i="14"/>
  <c r="J253" i="14"/>
  <c r="J70" i="14"/>
  <c r="J41" i="14"/>
  <c r="J100" i="14"/>
  <c r="L100" i="14" s="1"/>
  <c r="J164" i="14"/>
  <c r="L164" i="14" s="1"/>
  <c r="J89" i="14"/>
  <c r="L89" i="14" s="1"/>
  <c r="J153" i="14"/>
  <c r="L153" i="14" s="1"/>
  <c r="J96" i="14"/>
  <c r="J160" i="14"/>
  <c r="J380" i="14"/>
  <c r="J127" i="14"/>
  <c r="J389" i="14"/>
  <c r="J142" i="14"/>
  <c r="L142" i="14" s="1"/>
  <c r="J69" i="14"/>
  <c r="L69" i="14" s="1"/>
  <c r="J133" i="14"/>
  <c r="L133" i="14" s="1"/>
  <c r="J255" i="14"/>
  <c r="J240" i="14"/>
  <c r="L240" i="14" s="1"/>
  <c r="J197" i="14"/>
  <c r="J261" i="14"/>
  <c r="J228" i="14"/>
  <c r="J360" i="14"/>
  <c r="L360" i="14" s="1"/>
  <c r="J227" i="14"/>
  <c r="L227" i="14" s="1"/>
  <c r="J347" i="14"/>
  <c r="L347" i="14" s="1"/>
  <c r="J226" i="14"/>
  <c r="J330" i="14"/>
  <c r="J217" i="14"/>
  <c r="J319" i="14"/>
  <c r="J299" i="14"/>
  <c r="L299" i="14" s="1"/>
  <c r="J343" i="14"/>
  <c r="L343" i="14" s="1"/>
  <c r="J280" i="14"/>
  <c r="J352" i="14"/>
  <c r="L352" i="14" s="1"/>
  <c r="J279" i="14"/>
  <c r="J339" i="14"/>
  <c r="L339" i="14" s="1"/>
  <c r="J401" i="14"/>
  <c r="J329" i="14"/>
  <c r="J397" i="14"/>
  <c r="L397" i="14" s="1"/>
  <c r="J321" i="14"/>
  <c r="L321" i="14" s="1"/>
  <c r="J375" i="14"/>
  <c r="J305" i="14"/>
  <c r="L305" i="14" s="1"/>
  <c r="J382" i="14"/>
  <c r="J131" i="14"/>
  <c r="L131" i="14" s="1"/>
  <c r="J59" i="14"/>
  <c r="J23" i="14"/>
  <c r="J106" i="14"/>
  <c r="J52" i="14"/>
  <c r="I37" i="14"/>
  <c r="J37" i="14" s="1"/>
  <c r="L37" i="14" s="1"/>
  <c r="E67" i="14"/>
  <c r="F67" i="14" s="1"/>
  <c r="E72" i="14"/>
  <c r="F72" i="14" s="1"/>
  <c r="E25" i="14"/>
  <c r="F25" i="14" s="1"/>
  <c r="I231" i="14"/>
  <c r="I38" i="14"/>
  <c r="I395" i="14"/>
  <c r="J395" i="14" s="1"/>
  <c r="I18" i="14"/>
  <c r="J18" i="14" s="1"/>
  <c r="J140" i="14"/>
  <c r="L140" i="14" s="1"/>
  <c r="J167" i="14"/>
  <c r="J304" i="14"/>
  <c r="J267" i="14"/>
  <c r="J275" i="14"/>
  <c r="J388" i="14"/>
  <c r="L388" i="14" s="1"/>
  <c r="J370" i="14"/>
  <c r="L370" i="14" s="1"/>
  <c r="J354" i="14"/>
  <c r="L354" i="14" s="1"/>
  <c r="J139" i="14"/>
  <c r="L139" i="14" s="1"/>
  <c r="J58" i="14"/>
  <c r="J22" i="14"/>
  <c r="J108" i="14"/>
  <c r="J172" i="14"/>
  <c r="J97" i="14"/>
  <c r="L97" i="14" s="1"/>
  <c r="J161" i="14"/>
  <c r="L161" i="14" s="1"/>
  <c r="J104" i="14"/>
  <c r="L104" i="14" s="1"/>
  <c r="J168" i="14"/>
  <c r="L168" i="14" s="1"/>
  <c r="J71" i="14"/>
  <c r="J135" i="14"/>
  <c r="L135" i="14" s="1"/>
  <c r="J86" i="14"/>
  <c r="J150" i="14"/>
  <c r="J77" i="14"/>
  <c r="J141" i="14"/>
  <c r="L141" i="14" s="1"/>
  <c r="J184" i="14"/>
  <c r="L184" i="14" s="1"/>
  <c r="J248" i="14"/>
  <c r="L248" i="14" s="1"/>
  <c r="J205" i="14"/>
  <c r="J290" i="14"/>
  <c r="L290" i="14" s="1"/>
  <c r="J236" i="14"/>
  <c r="J390" i="14"/>
  <c r="J235" i="14"/>
  <c r="J373" i="14"/>
  <c r="L373" i="14" s="1"/>
  <c r="J234" i="14"/>
  <c r="J353" i="14"/>
  <c r="L353" i="14" s="1"/>
  <c r="J225" i="14"/>
  <c r="J323" i="14"/>
  <c r="J302" i="14"/>
  <c r="J361" i="14"/>
  <c r="J288" i="14"/>
  <c r="L288" i="14" s="1"/>
  <c r="J358" i="14"/>
  <c r="L358" i="14" s="1"/>
  <c r="J287" i="14"/>
  <c r="L287" i="14" s="1"/>
  <c r="J345" i="14"/>
  <c r="L345" i="14" s="1"/>
  <c r="J270" i="14"/>
  <c r="L270" i="14" s="1"/>
  <c r="J338" i="14"/>
  <c r="L338" i="14" s="1"/>
  <c r="J400" i="14"/>
  <c r="J324" i="14"/>
  <c r="J383" i="14"/>
  <c r="J328" i="14"/>
  <c r="L328" i="14" s="1"/>
  <c r="J399" i="14"/>
  <c r="J246" i="14"/>
  <c r="J16" i="14"/>
  <c r="J64" i="14"/>
  <c r="L64" i="14" s="1"/>
  <c r="J33" i="14"/>
  <c r="J116" i="14"/>
  <c r="J105" i="14"/>
  <c r="J112" i="14"/>
  <c r="L112" i="14" s="1"/>
  <c r="J79" i="14"/>
  <c r="L79" i="14" s="1"/>
  <c r="J94" i="14"/>
  <c r="L94" i="14" s="1"/>
  <c r="J85" i="14"/>
  <c r="J192" i="14"/>
  <c r="J213" i="14"/>
  <c r="J244" i="14"/>
  <c r="L244" i="14" s="1"/>
  <c r="J243" i="14"/>
  <c r="J242" i="14"/>
  <c r="L242" i="14" s="1"/>
  <c r="J233" i="14"/>
  <c r="L233" i="14" s="1"/>
  <c r="J308" i="14"/>
  <c r="L308" i="14" s="1"/>
  <c r="J296" i="14"/>
  <c r="J295" i="14"/>
  <c r="L295" i="14" s="1"/>
  <c r="J278" i="14"/>
  <c r="J277" i="14"/>
  <c r="J385" i="14"/>
  <c r="J51" i="14"/>
  <c r="L51" i="14" s="1"/>
  <c r="J44" i="14"/>
  <c r="J68" i="14"/>
  <c r="L68" i="14" s="1"/>
  <c r="J238" i="14"/>
  <c r="J190" i="14"/>
  <c r="L190" i="14" s="1"/>
  <c r="J118" i="14"/>
  <c r="J216" i="14"/>
  <c r="J273" i="14"/>
  <c r="J377" i="14"/>
  <c r="L377" i="14" s="1"/>
  <c r="J65" i="14"/>
  <c r="L65" i="14" s="1"/>
  <c r="J181" i="14"/>
  <c r="J169" i="14"/>
  <c r="J174" i="14"/>
  <c r="L174" i="14" s="1"/>
  <c r="J143" i="14"/>
  <c r="J158" i="14"/>
  <c r="L158" i="14" s="1"/>
  <c r="J149" i="14"/>
  <c r="L149" i="14" s="1"/>
  <c r="J256" i="14"/>
  <c r="L256" i="14" s="1"/>
  <c r="J312" i="14"/>
  <c r="L312" i="14" s="1"/>
  <c r="J179" i="14"/>
  <c r="L179" i="14" s="1"/>
  <c r="J178" i="14"/>
  <c r="J366" i="14"/>
  <c r="J342" i="14"/>
  <c r="J367" i="14"/>
  <c r="L367" i="14" s="1"/>
  <c r="J365" i="14"/>
  <c r="J351" i="14"/>
  <c r="L351" i="14" s="1"/>
  <c r="J350" i="14"/>
  <c r="L350" i="14" s="1"/>
  <c r="J333" i="14"/>
  <c r="J332" i="14"/>
  <c r="J99" i="14"/>
  <c r="J15" i="14"/>
  <c r="J82" i="14"/>
  <c r="L82" i="14" s="1"/>
  <c r="J107" i="14"/>
  <c r="L107" i="14" s="1"/>
  <c r="J146" i="14"/>
  <c r="L146" i="14" s="1"/>
  <c r="J50" i="14"/>
  <c r="J14" i="14"/>
  <c r="J124" i="14"/>
  <c r="J183" i="14"/>
  <c r="J113" i="14"/>
  <c r="J207" i="14"/>
  <c r="L207" i="14" s="1"/>
  <c r="J120" i="14"/>
  <c r="J180" i="14"/>
  <c r="L180" i="14" s="1"/>
  <c r="J87" i="14"/>
  <c r="L87" i="14" s="1"/>
  <c r="J151" i="14"/>
  <c r="J102" i="14"/>
  <c r="J166" i="14"/>
  <c r="L166" i="14" s="1"/>
  <c r="J93" i="14"/>
  <c r="J157" i="14"/>
  <c r="L157" i="14" s="1"/>
  <c r="J200" i="14"/>
  <c r="L200" i="14" s="1"/>
  <c r="J264" i="14"/>
  <c r="L264" i="14" s="1"/>
  <c r="J221" i="14"/>
  <c r="L221" i="14" s="1"/>
  <c r="J188" i="14"/>
  <c r="L188" i="14" s="1"/>
  <c r="J252" i="14"/>
  <c r="J187" i="14"/>
  <c r="L187" i="14" s="1"/>
  <c r="J251" i="14"/>
  <c r="J186" i="14"/>
  <c r="L186" i="14" s="1"/>
  <c r="J250" i="14"/>
  <c r="L250" i="14" s="1"/>
  <c r="J177" i="14"/>
  <c r="L177" i="14" s="1"/>
  <c r="J241" i="14"/>
  <c r="L241" i="14" s="1"/>
  <c r="J379" i="14"/>
  <c r="L379" i="14" s="1"/>
  <c r="J313" i="14"/>
  <c r="J374" i="14"/>
  <c r="L374" i="14" s="1"/>
  <c r="J301" i="14"/>
  <c r="J372" i="14"/>
  <c r="J306" i="14"/>
  <c r="L306" i="14" s="1"/>
  <c r="J357" i="14"/>
  <c r="L357" i="14" s="1"/>
  <c r="J286" i="14"/>
  <c r="L286" i="14" s="1"/>
  <c r="J356" i="14"/>
  <c r="J285" i="14"/>
  <c r="L285" i="14" s="1"/>
  <c r="J337" i="14"/>
  <c r="L337" i="14" s="1"/>
  <c r="J392" i="14"/>
  <c r="J336" i="14"/>
  <c r="J175" i="14"/>
  <c r="L175" i="14" s="1"/>
  <c r="J8" i="14"/>
  <c r="L8" i="14" s="1"/>
  <c r="J263" i="14"/>
  <c r="L263" i="14" s="1"/>
  <c r="J122" i="14"/>
  <c r="L122" i="14" s="1"/>
  <c r="L24" i="14"/>
  <c r="E298" i="14"/>
  <c r="F298" i="14" s="1"/>
  <c r="E366" i="14"/>
  <c r="F366" i="14" s="1"/>
  <c r="E297" i="14"/>
  <c r="F297" i="14" s="1"/>
  <c r="E359" i="14"/>
  <c r="F359" i="14" s="1"/>
  <c r="E43" i="14"/>
  <c r="F43" i="14" s="1"/>
  <c r="L43" i="14" s="1"/>
  <c r="E75" i="14"/>
  <c r="F75" i="14" s="1"/>
  <c r="E45" i="14"/>
  <c r="F45" i="14" s="1"/>
  <c r="E17" i="14"/>
  <c r="F17" i="14" s="1"/>
  <c r="E167" i="14"/>
  <c r="F167" i="14" s="1"/>
  <c r="L167" i="14" s="1"/>
  <c r="E27" i="14"/>
  <c r="F27" i="14" s="1"/>
  <c r="E28" i="14"/>
  <c r="F28" i="14" s="1"/>
  <c r="E36" i="14"/>
  <c r="F36" i="14" s="1"/>
  <c r="L36" i="14" s="1"/>
  <c r="E16" i="14"/>
  <c r="F16" i="14" s="1"/>
  <c r="L16" i="14" s="1"/>
  <c r="E325" i="14"/>
  <c r="F325" i="14" s="1"/>
  <c r="E391" i="14"/>
  <c r="F391" i="14" s="1"/>
  <c r="E316" i="14"/>
  <c r="F316" i="14" s="1"/>
  <c r="E390" i="14"/>
  <c r="F390" i="14" s="1"/>
  <c r="L390" i="14" s="1"/>
  <c r="E323" i="14"/>
  <c r="F323" i="14" s="1"/>
  <c r="E389" i="14"/>
  <c r="F389" i="14" s="1"/>
  <c r="E111" i="14"/>
  <c r="F111" i="14" s="1"/>
  <c r="L111" i="14" s="1"/>
  <c r="E50" i="14"/>
  <c r="F50" i="14" s="1"/>
  <c r="E52" i="14"/>
  <c r="F52" i="14" s="1"/>
  <c r="E399" i="14"/>
  <c r="F399" i="14" s="1"/>
  <c r="E320" i="14"/>
  <c r="F320" i="14" s="1"/>
  <c r="E396" i="14"/>
  <c r="F396" i="14" s="1"/>
  <c r="L396" i="14" s="1"/>
  <c r="E335" i="14"/>
  <c r="F335" i="14" s="1"/>
  <c r="E395" i="14"/>
  <c r="F395" i="14" s="1"/>
  <c r="E14" i="14"/>
  <c r="F14" i="14" s="1"/>
  <c r="E120" i="14"/>
  <c r="F120" i="14" s="1"/>
  <c r="E61" i="14"/>
  <c r="F61" i="14" s="1"/>
  <c r="E29" i="14"/>
  <c r="F29" i="14" s="1"/>
  <c r="E160" i="14"/>
  <c r="F160" i="14" s="1"/>
  <c r="J115" i="14"/>
  <c r="L115" i="14" s="1"/>
  <c r="E103" i="14"/>
  <c r="F103" i="14" s="1"/>
  <c r="L103" i="14" s="1"/>
  <c r="E274" i="14"/>
  <c r="F274" i="14" s="1"/>
  <c r="E342" i="14"/>
  <c r="F342" i="14" s="1"/>
  <c r="E273" i="14"/>
  <c r="F273" i="14" s="1"/>
  <c r="E341" i="14"/>
  <c r="F341" i="14" s="1"/>
  <c r="L341" i="14" s="1"/>
  <c r="E42" i="14"/>
  <c r="F42" i="14" s="1"/>
  <c r="L42" i="14" s="1"/>
  <c r="E26" i="14"/>
  <c r="F26" i="14" s="1"/>
  <c r="E128" i="14"/>
  <c r="F128" i="14" s="1"/>
  <c r="E60" i="14"/>
  <c r="F60" i="14" s="1"/>
  <c r="L60" i="14" s="1"/>
  <c r="J155" i="14"/>
  <c r="L155" i="14" s="1"/>
  <c r="J61" i="14"/>
  <c r="J214" i="14"/>
  <c r="L214" i="14" s="1"/>
  <c r="J83" i="14"/>
  <c r="L178" i="14"/>
  <c r="L85" i="14"/>
  <c r="J359" i="14"/>
  <c r="J72" i="14"/>
  <c r="L72" i="14" s="1"/>
  <c r="J9" i="14"/>
  <c r="L9" i="14" s="1"/>
  <c r="J90" i="14"/>
  <c r="L90" i="14" s="1"/>
  <c r="J56" i="14"/>
  <c r="L56" i="14" s="1"/>
  <c r="J11" i="14"/>
  <c r="L159" i="14"/>
  <c r="J47" i="14"/>
  <c r="L47" i="14" s="1"/>
  <c r="L59" i="14"/>
  <c r="L15" i="14"/>
  <c r="L23" i="14"/>
  <c r="L137" i="14"/>
  <c r="L236" i="14"/>
  <c r="L259" i="14"/>
  <c r="L181" i="14"/>
  <c r="L245" i="14"/>
  <c r="L223" i="14"/>
  <c r="L315" i="14"/>
  <c r="L349" i="14"/>
  <c r="L289" i="14"/>
  <c r="L34" i="14"/>
  <c r="J81" i="14"/>
  <c r="L81" i="14" s="1"/>
  <c r="J48" i="14"/>
  <c r="L48" i="14" s="1"/>
  <c r="J20" i="14"/>
  <c r="J27" i="14"/>
  <c r="L27" i="14" s="1"/>
  <c r="J62" i="14"/>
  <c r="L62" i="14" s="1"/>
  <c r="L400" i="14"/>
  <c r="L170" i="14"/>
  <c r="L205" i="14"/>
  <c r="L232" i="14"/>
  <c r="L381" i="14"/>
  <c r="J123" i="14"/>
  <c r="L123" i="14" s="1"/>
  <c r="J53" i="14"/>
  <c r="L22" i="14"/>
  <c r="J231" i="14"/>
  <c r="L41" i="14"/>
  <c r="L76" i="14"/>
  <c r="L211" i="14"/>
  <c r="L334" i="14"/>
  <c r="L269" i="14"/>
  <c r="L385" i="14"/>
  <c r="L324" i="14"/>
  <c r="J91" i="14"/>
  <c r="L91" i="14" s="1"/>
  <c r="J45" i="14"/>
  <c r="L45" i="14" s="1"/>
  <c r="L124" i="14"/>
  <c r="L226" i="14"/>
  <c r="L401" i="14"/>
  <c r="L183" i="14"/>
  <c r="L238" i="14"/>
  <c r="L251" i="14"/>
  <c r="L83" i="14"/>
  <c r="L11" i="14"/>
  <c r="L71" i="14"/>
  <c r="L13" i="14"/>
  <c r="L169" i="14"/>
  <c r="L110" i="14"/>
  <c r="L114" i="14"/>
  <c r="L213" i="14"/>
  <c r="L249" i="14"/>
  <c r="L255" i="14"/>
  <c r="L182" i="14"/>
  <c r="L340" i="14"/>
  <c r="L398" i="14"/>
  <c r="L314" i="14"/>
  <c r="L368" i="14"/>
  <c r="J31" i="14"/>
  <c r="J6" i="14"/>
  <c r="L113" i="14"/>
  <c r="L118" i="14"/>
  <c r="L267" i="14"/>
  <c r="L193" i="14"/>
  <c r="L382" i="14"/>
  <c r="L70" i="14"/>
  <c r="L121" i="14"/>
  <c r="L185" i="14"/>
  <c r="L195" i="14"/>
  <c r="L93" i="14"/>
  <c r="L130" i="14"/>
  <c r="L243" i="14"/>
  <c r="L229" i="14"/>
  <c r="L265" i="14"/>
  <c r="L192" i="14"/>
  <c r="L279" i="14"/>
  <c r="L262" i="14"/>
  <c r="L296" i="14"/>
  <c r="L277" i="14"/>
  <c r="L333" i="14"/>
  <c r="L331" i="14"/>
  <c r="J19" i="14"/>
  <c r="L19" i="14" s="1"/>
  <c r="L257" i="14"/>
  <c r="L329" i="14"/>
  <c r="L33" i="14"/>
  <c r="L96" i="14"/>
  <c r="L101" i="14"/>
  <c r="L165" i="14"/>
  <c r="L156" i="14"/>
  <c r="L74" i="14"/>
  <c r="L138" i="14"/>
  <c r="L194" i="14"/>
  <c r="L258" i="14"/>
  <c r="L271" i="14"/>
  <c r="L311" i="14"/>
  <c r="L206" i="14"/>
  <c r="L304" i="14"/>
  <c r="L268" i="14"/>
  <c r="L332" i="14"/>
  <c r="L275" i="14"/>
  <c r="F6" i="14"/>
  <c r="L88" i="14"/>
  <c r="J147" i="14"/>
  <c r="L147" i="14" s="1"/>
  <c r="J38" i="14"/>
  <c r="L38" i="14" s="1"/>
  <c r="L151" i="14"/>
  <c r="L7" i="14"/>
  <c r="L217" i="14"/>
  <c r="L372" i="14"/>
  <c r="L355" i="14"/>
  <c r="L99" i="14"/>
  <c r="L276" i="14"/>
  <c r="L127" i="14"/>
  <c r="L57" i="14"/>
  <c r="L86" i="14"/>
  <c r="L150" i="14"/>
  <c r="L117" i="14"/>
  <c r="L108" i="14"/>
  <c r="L172" i="14"/>
  <c r="L171" i="14"/>
  <c r="L253" i="14"/>
  <c r="L278" i="14"/>
  <c r="L225" i="14"/>
  <c r="L216" i="14"/>
  <c r="L231" i="14"/>
  <c r="L356" i="14"/>
  <c r="L378" i="14"/>
  <c r="L303" i="14"/>
  <c r="L363" i="14"/>
  <c r="L284" i="14"/>
  <c r="L344" i="14"/>
  <c r="L361" i="14"/>
  <c r="L366" i="14"/>
  <c r="J29" i="14"/>
  <c r="J78" i="14"/>
  <c r="L78" i="14" s="1"/>
  <c r="J26" i="14"/>
  <c r="L26" i="14" s="1"/>
  <c r="J30" i="14"/>
  <c r="L30" i="14" s="1"/>
  <c r="J163" i="14"/>
  <c r="L163" i="14" s="1"/>
  <c r="L31" i="14"/>
  <c r="L109" i="14"/>
  <c r="L202" i="14"/>
  <c r="L336" i="14"/>
  <c r="L384" i="14"/>
  <c r="L20" i="14"/>
  <c r="L21" i="14"/>
  <c r="L125" i="14"/>
  <c r="L116" i="14"/>
  <c r="L98" i="14"/>
  <c r="L197" i="14"/>
  <c r="L261" i="14"/>
  <c r="L218" i="14"/>
  <c r="L301" i="14"/>
  <c r="L376" i="14"/>
  <c r="L239" i="14"/>
  <c r="L230" i="14"/>
  <c r="L326" i="14"/>
  <c r="L302" i="14"/>
  <c r="L143" i="14"/>
  <c r="L58" i="14"/>
  <c r="J25" i="14"/>
  <c r="L25" i="14" s="1"/>
  <c r="J154" i="14"/>
  <c r="L154" i="14" s="1"/>
  <c r="J73" i="14"/>
  <c r="L73" i="14" s="1"/>
  <c r="J40" i="14"/>
  <c r="L40" i="14" s="1"/>
  <c r="J12" i="14"/>
  <c r="L12" i="14" s="1"/>
  <c r="L102" i="14"/>
  <c r="L252" i="14"/>
  <c r="L203" i="14"/>
  <c r="L228" i="14"/>
  <c r="L380" i="14"/>
  <c r="L319" i="14"/>
  <c r="A4" i="43"/>
  <c r="H47" i="43"/>
  <c r="H41" i="43"/>
  <c r="E4" i="43"/>
  <c r="C4" i="43"/>
  <c r="L152" i="14" l="1"/>
  <c r="L399" i="14"/>
  <c r="L383" i="14"/>
  <c r="L77" i="14"/>
  <c r="L66" i="14"/>
  <c r="L330" i="14"/>
  <c r="L310" i="14"/>
  <c r="L316" i="14"/>
  <c r="L18" i="14"/>
  <c r="L80" i="14"/>
  <c r="L160" i="14"/>
  <c r="L292" i="14"/>
  <c r="L246" i="14"/>
  <c r="L29" i="14"/>
  <c r="L128" i="14"/>
  <c r="L247" i="14"/>
  <c r="L61" i="14"/>
  <c r="L52" i="14"/>
  <c r="L325" i="14"/>
  <c r="L75" i="14"/>
  <c r="L44" i="14"/>
  <c r="L234" i="14"/>
  <c r="L375" i="14"/>
  <c r="L280" i="14"/>
  <c r="L320" i="14"/>
  <c r="L49" i="14"/>
  <c r="L365" i="14"/>
  <c r="L395" i="14"/>
  <c r="L389" i="14"/>
  <c r="L28" i="14"/>
  <c r="L323" i="14"/>
  <c r="L67" i="14"/>
  <c r="L53" i="14"/>
  <c r="L273" i="14"/>
  <c r="L274" i="14"/>
  <c r="L335" i="14"/>
  <c r="L298" i="14"/>
  <c r="L391" i="14"/>
  <c r="L50" i="14"/>
  <c r="I5" i="14"/>
  <c r="L120" i="14"/>
  <c r="L342" i="14"/>
  <c r="L14" i="14"/>
  <c r="L359" i="14"/>
  <c r="E5" i="14"/>
  <c r="F5" i="14"/>
  <c r="L6" i="14"/>
  <c r="J5" i="14"/>
  <c r="I14" i="38"/>
  <c r="I15" i="38"/>
  <c r="I16" i="38"/>
  <c r="I17" i="38"/>
  <c r="I18" i="38"/>
  <c r="I19" i="38"/>
  <c r="I20" i="38"/>
  <c r="I21" i="38"/>
  <c r="I22" i="38"/>
  <c r="I23" i="38"/>
  <c r="I24" i="38"/>
  <c r="I25" i="38"/>
  <c r="I26" i="38"/>
  <c r="I27" i="38"/>
  <c r="I28" i="38"/>
  <c r="I29" i="38"/>
  <c r="I30" i="38"/>
  <c r="I31" i="38"/>
  <c r="I32" i="38"/>
  <c r="I33" i="38"/>
  <c r="I34" i="38"/>
  <c r="I35" i="38"/>
  <c r="I36" i="38"/>
  <c r="I37" i="38"/>
  <c r="I38" i="38"/>
  <c r="I39" i="38"/>
  <c r="I40" i="38"/>
  <c r="I41" i="38"/>
  <c r="I42" i="38"/>
  <c r="I43" i="38"/>
  <c r="I44" i="38"/>
  <c r="I45" i="38"/>
  <c r="I46" i="38"/>
  <c r="I47" i="38"/>
  <c r="I48" i="38"/>
  <c r="I49" i="38"/>
  <c r="I50" i="38"/>
  <c r="I51" i="38"/>
  <c r="I52" i="38"/>
  <c r="I53" i="38"/>
  <c r="I54" i="38"/>
  <c r="I55" i="38"/>
  <c r="A14" i="38"/>
  <c r="A15" i="38"/>
  <c r="A16" i="38"/>
  <c r="A17" i="38"/>
  <c r="A18" i="38"/>
  <c r="A19" i="38"/>
  <c r="A20" i="38"/>
  <c r="A21" i="38"/>
  <c r="A22" i="38"/>
  <c r="A23" i="38"/>
  <c r="A24" i="38"/>
  <c r="A25" i="38"/>
  <c r="A26" i="38"/>
  <c r="A27" i="38"/>
  <c r="A28" i="38"/>
  <c r="A29" i="38"/>
  <c r="A30" i="38"/>
  <c r="A31" i="38"/>
  <c r="A32" i="38"/>
  <c r="A33" i="38"/>
  <c r="A34" i="38"/>
  <c r="A35" i="38"/>
  <c r="A36" i="38"/>
  <c r="A37" i="38"/>
  <c r="A38" i="38"/>
  <c r="A39" i="38"/>
  <c r="A40" i="38"/>
  <c r="A41" i="38"/>
  <c r="A42" i="38"/>
  <c r="A43" i="38"/>
  <c r="A44" i="38"/>
  <c r="A45" i="38"/>
  <c r="A46" i="38"/>
  <c r="A47" i="38"/>
  <c r="A48" i="38"/>
  <c r="A49" i="38"/>
  <c r="A50" i="38"/>
  <c r="A51" i="38"/>
  <c r="A52" i="38"/>
  <c r="A53" i="38"/>
  <c r="A54" i="38"/>
  <c r="A55" i="38"/>
  <c r="A13" i="38"/>
  <c r="A12" i="38"/>
  <c r="I14" i="35"/>
  <c r="I15" i="35"/>
  <c r="I16" i="35"/>
  <c r="I17" i="35"/>
  <c r="I18" i="35"/>
  <c r="I19" i="35"/>
  <c r="I20" i="35"/>
  <c r="I21" i="35"/>
  <c r="I22" i="35"/>
  <c r="I23" i="35"/>
  <c r="I24" i="35"/>
  <c r="I25" i="35"/>
  <c r="I26" i="35"/>
  <c r="I27" i="35"/>
  <c r="I28" i="35"/>
  <c r="I29" i="35"/>
  <c r="I30" i="35"/>
  <c r="I31" i="35"/>
  <c r="I32" i="35"/>
  <c r="I33" i="35"/>
  <c r="I34" i="35"/>
  <c r="I35" i="35"/>
  <c r="I36" i="35"/>
  <c r="I37" i="35"/>
  <c r="I38" i="35"/>
  <c r="I39" i="35"/>
  <c r="I40" i="35"/>
  <c r="I41" i="35"/>
  <c r="I42" i="35"/>
  <c r="I43" i="35"/>
  <c r="I44" i="35"/>
  <c r="I45" i="35"/>
  <c r="I46" i="35"/>
  <c r="I47" i="35"/>
  <c r="I48" i="35"/>
  <c r="I49" i="35"/>
  <c r="I50" i="35"/>
  <c r="I51" i="35"/>
  <c r="I52" i="35"/>
  <c r="I53" i="35"/>
  <c r="I54" i="35"/>
  <c r="I55" i="35"/>
  <c r="A14" i="35"/>
  <c r="A15" i="35"/>
  <c r="A16" i="35"/>
  <c r="A17" i="35"/>
  <c r="A18" i="35"/>
  <c r="A19" i="35"/>
  <c r="A20" i="35"/>
  <c r="A21" i="35"/>
  <c r="A22" i="35"/>
  <c r="A23" i="35"/>
  <c r="A24" i="35"/>
  <c r="A25" i="35"/>
  <c r="A26" i="35"/>
  <c r="A27" i="35"/>
  <c r="A28" i="35"/>
  <c r="A29" i="35"/>
  <c r="A30" i="35"/>
  <c r="A31" i="35"/>
  <c r="A32" i="35"/>
  <c r="A33" i="35"/>
  <c r="A34" i="35"/>
  <c r="A35" i="35"/>
  <c r="A36" i="35"/>
  <c r="A37" i="35"/>
  <c r="A38" i="35"/>
  <c r="A39" i="35"/>
  <c r="A40" i="35"/>
  <c r="A41" i="35"/>
  <c r="A42" i="35"/>
  <c r="A43" i="35"/>
  <c r="A44" i="35"/>
  <c r="A45" i="35"/>
  <c r="A46" i="35"/>
  <c r="A47" i="35"/>
  <c r="A48" i="35"/>
  <c r="A49" i="35"/>
  <c r="A50" i="35"/>
  <c r="A51" i="35"/>
  <c r="A52" i="35"/>
  <c r="A53" i="35"/>
  <c r="A54" i="35"/>
  <c r="A55" i="35"/>
  <c r="I14" i="33"/>
  <c r="I15" i="33"/>
  <c r="I16" i="33"/>
  <c r="I17" i="33"/>
  <c r="I18" i="33"/>
  <c r="I19" i="33"/>
  <c r="I20" i="33"/>
  <c r="I21" i="33"/>
  <c r="I22" i="33"/>
  <c r="I23" i="33"/>
  <c r="I24" i="33"/>
  <c r="I25" i="33"/>
  <c r="I26" i="33"/>
  <c r="I27" i="33"/>
  <c r="I28" i="33"/>
  <c r="I29" i="33"/>
  <c r="I30" i="33"/>
  <c r="I31" i="33"/>
  <c r="I32" i="33"/>
  <c r="I33" i="33"/>
  <c r="I34" i="33"/>
  <c r="I35" i="33"/>
  <c r="I36" i="33"/>
  <c r="I37" i="33"/>
  <c r="I38" i="33"/>
  <c r="I39" i="33"/>
  <c r="I40" i="33"/>
  <c r="I41" i="33"/>
  <c r="I42" i="33"/>
  <c r="I43" i="33"/>
  <c r="I44" i="33"/>
  <c r="I45" i="33"/>
  <c r="I46" i="33"/>
  <c r="I47" i="33"/>
  <c r="I48" i="33"/>
  <c r="I49" i="33"/>
  <c r="I50" i="33"/>
  <c r="I51" i="33"/>
  <c r="I52" i="33"/>
  <c r="I53" i="33"/>
  <c r="I54" i="33"/>
  <c r="I55" i="33"/>
  <c r="A13" i="35"/>
  <c r="A12" i="35"/>
  <c r="A14" i="33"/>
  <c r="A15" i="33"/>
  <c r="A16" i="33"/>
  <c r="A17" i="33"/>
  <c r="A18" i="33"/>
  <c r="A19" i="33"/>
  <c r="A20" i="33"/>
  <c r="A21" i="33"/>
  <c r="A22" i="33"/>
  <c r="A23" i="33"/>
  <c r="A24" i="33"/>
  <c r="A25" i="33"/>
  <c r="A26" i="33"/>
  <c r="A27" i="33"/>
  <c r="A28" i="33"/>
  <c r="A29" i="33"/>
  <c r="A30" i="33"/>
  <c r="A31" i="33"/>
  <c r="A32" i="33"/>
  <c r="A33" i="33"/>
  <c r="A34" i="33"/>
  <c r="A35" i="33"/>
  <c r="A36" i="33"/>
  <c r="A37" i="33"/>
  <c r="A38" i="33"/>
  <c r="A39" i="33"/>
  <c r="A40" i="33"/>
  <c r="A41" i="33"/>
  <c r="A42" i="33"/>
  <c r="A43" i="33"/>
  <c r="A44" i="33"/>
  <c r="A45" i="33"/>
  <c r="A46" i="33"/>
  <c r="A47" i="33"/>
  <c r="A48" i="33"/>
  <c r="A49" i="33"/>
  <c r="A50" i="33"/>
  <c r="A51" i="33"/>
  <c r="A52" i="33"/>
  <c r="A53" i="33"/>
  <c r="A54" i="33"/>
  <c r="A55" i="33"/>
  <c r="A13" i="33"/>
  <c r="A12" i="33"/>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13" i="31"/>
  <c r="A12" i="31"/>
  <c r="D30" i="42"/>
  <c r="D30" i="27"/>
  <c r="D30" i="23"/>
  <c r="C30" i="23"/>
  <c r="C30" i="42"/>
  <c r="C30" i="27"/>
  <c r="L5" i="14" l="1"/>
  <c r="L2" i="14"/>
  <c r="B19" i="18"/>
  <c r="B19" i="22" s="1"/>
  <c r="B19" i="26" s="1"/>
  <c r="B19" i="41" s="1"/>
  <c r="D30" i="19" l="1"/>
  <c r="C30" i="19"/>
  <c r="L13" i="41" l="1"/>
  <c r="L12" i="41"/>
  <c r="L11" i="41"/>
  <c r="L9" i="41"/>
  <c r="L8" i="41"/>
  <c r="L7" i="41"/>
  <c r="L6" i="41"/>
  <c r="L13" i="26"/>
  <c r="L12" i="26"/>
  <c r="L11" i="26"/>
  <c r="L9" i="26"/>
  <c r="L8" i="26"/>
  <c r="L7" i="26"/>
  <c r="L6" i="26"/>
  <c r="L13" i="22"/>
  <c r="L12" i="22"/>
  <c r="L11" i="22"/>
  <c r="L9" i="22"/>
  <c r="L8" i="22"/>
  <c r="L7" i="22"/>
  <c r="L6" i="22"/>
  <c r="L15" i="41" l="1"/>
  <c r="L15" i="26"/>
  <c r="G29" i="41"/>
  <c r="B14" i="42" s="1"/>
  <c r="G28" i="41"/>
  <c r="B13" i="42" s="1"/>
  <c r="G27" i="41"/>
  <c r="B12" i="42" s="1"/>
  <c r="M10" i="41"/>
  <c r="G29" i="26"/>
  <c r="B14" i="27" s="1"/>
  <c r="G28" i="26"/>
  <c r="B13" i="27" s="1"/>
  <c r="G27" i="26"/>
  <c r="B12" i="27" s="1"/>
  <c r="G29" i="22"/>
  <c r="G28" i="22"/>
  <c r="B13" i="23" s="1"/>
  <c r="G27" i="22"/>
  <c r="B12" i="23" s="1"/>
  <c r="L15" i="22"/>
  <c r="C4" i="33"/>
  <c r="B5" i="42"/>
  <c r="B4" i="42"/>
  <c r="I62" i="40"/>
  <c r="I60" i="40"/>
  <c r="I59" i="40"/>
  <c r="I58" i="40"/>
  <c r="I57" i="40"/>
  <c r="I56" i="40"/>
  <c r="I55" i="40"/>
  <c r="I54" i="40"/>
  <c r="I52" i="40"/>
  <c r="I51" i="40"/>
  <c r="I50" i="40"/>
  <c r="I49" i="40"/>
  <c r="I48" i="40"/>
  <c r="I47" i="40"/>
  <c r="I46" i="40"/>
  <c r="I44" i="40"/>
  <c r="I43" i="40"/>
  <c r="I42" i="40"/>
  <c r="I41" i="40"/>
  <c r="I40" i="40"/>
  <c r="I39" i="40"/>
  <c r="I38" i="40"/>
  <c r="I36" i="40"/>
  <c r="E36" i="40"/>
  <c r="I35" i="40"/>
  <c r="I34" i="40"/>
  <c r="I33" i="40"/>
  <c r="I32" i="40"/>
  <c r="I31" i="40"/>
  <c r="I30" i="40"/>
  <c r="I28" i="40"/>
  <c r="I27" i="40"/>
  <c r="I26" i="40"/>
  <c r="I25" i="40"/>
  <c r="I24" i="40"/>
  <c r="I23" i="40"/>
  <c r="I22" i="40"/>
  <c r="I20" i="40"/>
  <c r="I19" i="40"/>
  <c r="I18" i="40"/>
  <c r="I17" i="40"/>
  <c r="I16" i="40"/>
  <c r="I15" i="40"/>
  <c r="I14" i="40"/>
  <c r="I12" i="40"/>
  <c r="I11" i="40"/>
  <c r="I10" i="40"/>
  <c r="I9" i="40"/>
  <c r="I8" i="40"/>
  <c r="I7" i="40"/>
  <c r="I6" i="40"/>
  <c r="D112" i="39"/>
  <c r="H62" i="39"/>
  <c r="B20" i="42" s="1"/>
  <c r="H60" i="39"/>
  <c r="H59" i="39"/>
  <c r="H58" i="39"/>
  <c r="H57" i="39"/>
  <c r="H56" i="39"/>
  <c r="H55" i="39"/>
  <c r="H54" i="39"/>
  <c r="H52" i="39"/>
  <c r="H51" i="39"/>
  <c r="H50" i="39"/>
  <c r="H49" i="39"/>
  <c r="H48" i="39"/>
  <c r="H47" i="39"/>
  <c r="H46" i="39"/>
  <c r="H44" i="39"/>
  <c r="H43" i="39"/>
  <c r="H42" i="39"/>
  <c r="H41" i="39"/>
  <c r="H40" i="39"/>
  <c r="H39" i="39"/>
  <c r="H38" i="39"/>
  <c r="H36" i="39"/>
  <c r="H35" i="39"/>
  <c r="H34" i="39"/>
  <c r="H33" i="39"/>
  <c r="H32" i="39"/>
  <c r="H31" i="39"/>
  <c r="H30" i="39"/>
  <c r="H28" i="39"/>
  <c r="H27" i="39"/>
  <c r="H26" i="39"/>
  <c r="H25" i="39"/>
  <c r="H24" i="39"/>
  <c r="H23" i="39"/>
  <c r="H22" i="39"/>
  <c r="H20" i="39"/>
  <c r="H19" i="39"/>
  <c r="H18" i="39"/>
  <c r="H17" i="39"/>
  <c r="H16" i="39"/>
  <c r="H15" i="39"/>
  <c r="H14" i="39"/>
  <c r="H12" i="39"/>
  <c r="H11" i="39"/>
  <c r="H10" i="39"/>
  <c r="H9" i="39"/>
  <c r="H8" i="39"/>
  <c r="H7" i="39"/>
  <c r="H6" i="39"/>
  <c r="I13" i="38"/>
  <c r="I12" i="38"/>
  <c r="C4" i="38"/>
  <c r="G11" i="37"/>
  <c r="B29" i="42" s="1"/>
  <c r="C4" i="37"/>
  <c r="M10" i="26"/>
  <c r="M10" i="22"/>
  <c r="H62" i="21"/>
  <c r="B20" i="23" s="1"/>
  <c r="H60" i="21"/>
  <c r="H59" i="21"/>
  <c r="H58" i="21"/>
  <c r="H57" i="21"/>
  <c r="H56" i="21"/>
  <c r="H55" i="21"/>
  <c r="H54" i="21"/>
  <c r="H52" i="21"/>
  <c r="H51" i="21"/>
  <c r="H50" i="21"/>
  <c r="H49" i="21"/>
  <c r="H48" i="21"/>
  <c r="H47" i="21"/>
  <c r="H46" i="21"/>
  <c r="H44" i="21"/>
  <c r="H43" i="21"/>
  <c r="H42" i="21"/>
  <c r="H41" i="21"/>
  <c r="H40" i="21"/>
  <c r="H39" i="21"/>
  <c r="H38" i="21"/>
  <c r="H36" i="21"/>
  <c r="H35" i="21"/>
  <c r="H34" i="21"/>
  <c r="H33" i="21"/>
  <c r="H32" i="21"/>
  <c r="H31" i="21"/>
  <c r="H30" i="21"/>
  <c r="H28" i="21"/>
  <c r="H27" i="21"/>
  <c r="H26" i="21"/>
  <c r="H25" i="21"/>
  <c r="H24" i="21"/>
  <c r="H23" i="21"/>
  <c r="H22" i="21"/>
  <c r="H20" i="21"/>
  <c r="H19" i="21"/>
  <c r="H18" i="21"/>
  <c r="H17" i="21"/>
  <c r="H16" i="21"/>
  <c r="H15" i="21"/>
  <c r="H14" i="21"/>
  <c r="H12" i="21"/>
  <c r="H11" i="21"/>
  <c r="H10" i="21"/>
  <c r="H9" i="21"/>
  <c r="H8" i="21"/>
  <c r="H7" i="21"/>
  <c r="H6" i="21"/>
  <c r="D112" i="21"/>
  <c r="E36" i="24"/>
  <c r="E36" i="20"/>
  <c r="H62" i="25"/>
  <c r="H60" i="25"/>
  <c r="H59" i="25"/>
  <c r="H58" i="25"/>
  <c r="H57" i="25"/>
  <c r="H56" i="25"/>
  <c r="H55" i="25"/>
  <c r="H54" i="25"/>
  <c r="H52" i="25"/>
  <c r="H51" i="25"/>
  <c r="H50" i="25"/>
  <c r="H49" i="25"/>
  <c r="H48" i="25"/>
  <c r="H47" i="25"/>
  <c r="H46" i="25"/>
  <c r="H44" i="25"/>
  <c r="H43" i="25"/>
  <c r="H42" i="25"/>
  <c r="H41" i="25"/>
  <c r="H40" i="25"/>
  <c r="H39" i="25"/>
  <c r="H38" i="25"/>
  <c r="H36" i="25"/>
  <c r="H35" i="25"/>
  <c r="H34" i="25"/>
  <c r="H33" i="25"/>
  <c r="H32" i="25"/>
  <c r="H31" i="25"/>
  <c r="H30" i="25"/>
  <c r="H28" i="25"/>
  <c r="H27" i="25"/>
  <c r="H26" i="25"/>
  <c r="H25" i="25"/>
  <c r="H24" i="25"/>
  <c r="H23" i="25"/>
  <c r="H22" i="25"/>
  <c r="H20" i="25"/>
  <c r="H19" i="25"/>
  <c r="H18" i="25"/>
  <c r="H17" i="25"/>
  <c r="H16" i="25"/>
  <c r="H15" i="25"/>
  <c r="H14" i="25"/>
  <c r="H12" i="25"/>
  <c r="H11" i="25"/>
  <c r="H10" i="25"/>
  <c r="H9" i="25"/>
  <c r="H8" i="25"/>
  <c r="H7" i="25"/>
  <c r="H6" i="25"/>
  <c r="K9" i="41" l="1"/>
  <c r="C12" i="41"/>
  <c r="E13" i="41"/>
  <c r="I11" i="41"/>
  <c r="J12" i="41"/>
  <c r="K13" i="41"/>
  <c r="M22" i="41"/>
  <c r="B16" i="42" s="1"/>
  <c r="C11" i="41"/>
  <c r="E12" i="41"/>
  <c r="G13" i="41"/>
  <c r="G11" i="41"/>
  <c r="H12" i="41"/>
  <c r="I13" i="41"/>
  <c r="E6" i="41"/>
  <c r="G7" i="41"/>
  <c r="I9" i="41"/>
  <c r="H64" i="25"/>
  <c r="M18" i="26" s="1"/>
  <c r="I56" i="38"/>
  <c r="F4" i="38" s="1"/>
  <c r="J4" i="38" s="1"/>
  <c r="F7" i="38" s="1"/>
  <c r="I64" i="39"/>
  <c r="H6" i="41"/>
  <c r="I7" i="41"/>
  <c r="J8" i="41"/>
  <c r="K11" i="41"/>
  <c r="C13" i="41"/>
  <c r="I64" i="25"/>
  <c r="B20" i="27"/>
  <c r="I6" i="41"/>
  <c r="J7" i="41"/>
  <c r="K8" i="41"/>
  <c r="B19" i="23"/>
  <c r="B18" i="23" s="1"/>
  <c r="B19" i="42"/>
  <c r="B18" i="42" s="1"/>
  <c r="J6" i="41"/>
  <c r="K7" i="41"/>
  <c r="C9" i="41"/>
  <c r="K6" i="41"/>
  <c r="C8" i="41"/>
  <c r="E9" i="41"/>
  <c r="E11" i="41"/>
  <c r="G12" i="41"/>
  <c r="H13" i="41"/>
  <c r="C7" i="41"/>
  <c r="E8" i="41"/>
  <c r="G9" i="41"/>
  <c r="B19" i="27"/>
  <c r="H64" i="39"/>
  <c r="M18" i="41" s="1"/>
  <c r="I64" i="40"/>
  <c r="M17" i="41" s="1"/>
  <c r="C6" i="41"/>
  <c r="E7" i="41"/>
  <c r="G8" i="41"/>
  <c r="H9" i="41"/>
  <c r="H11" i="41"/>
  <c r="I12" i="41"/>
  <c r="J13" i="41"/>
  <c r="H8" i="41"/>
  <c r="G6" i="41"/>
  <c r="H7" i="41"/>
  <c r="I8" i="41"/>
  <c r="J9" i="41"/>
  <c r="J11" i="41"/>
  <c r="K12" i="41"/>
  <c r="I64" i="21"/>
  <c r="H64" i="21"/>
  <c r="M18" i="22" s="1"/>
  <c r="B29" i="13"/>
  <c r="M13" i="41" l="1"/>
  <c r="M8" i="41"/>
  <c r="I15" i="41"/>
  <c r="M7" i="41"/>
  <c r="K15" i="41"/>
  <c r="M12" i="41"/>
  <c r="M6" i="41"/>
  <c r="M23" i="41"/>
  <c r="M9" i="41"/>
  <c r="J15" i="41"/>
  <c r="C15" i="41"/>
  <c r="E15" i="41"/>
  <c r="G15" i="41"/>
  <c r="M11" i="41"/>
  <c r="H15" i="41"/>
  <c r="D112" i="17"/>
  <c r="M15" i="41" l="1"/>
  <c r="M16" i="41"/>
  <c r="M20" i="41" s="1"/>
  <c r="M21" i="41" s="1"/>
  <c r="G15" i="37"/>
  <c r="B15" i="42"/>
  <c r="M24" i="41"/>
  <c r="G29" i="18"/>
  <c r="B14" i="23" s="1"/>
  <c r="G28" i="18"/>
  <c r="G27" i="18"/>
  <c r="H110" i="17" l="1"/>
  <c r="H109" i="17"/>
  <c r="H108" i="17"/>
  <c r="H107" i="17"/>
  <c r="H106" i="17"/>
  <c r="H105" i="17"/>
  <c r="H104" i="17"/>
  <c r="H103" i="17"/>
  <c r="H102" i="17"/>
  <c r="H101" i="17"/>
  <c r="H100" i="17"/>
  <c r="H99" i="17"/>
  <c r="H98" i="17"/>
  <c r="H97" i="17"/>
  <c r="H62" i="17"/>
  <c r="B20" i="19" s="1"/>
  <c r="H60" i="17"/>
  <c r="H59" i="17"/>
  <c r="H58" i="17"/>
  <c r="H57" i="17"/>
  <c r="H56" i="17"/>
  <c r="H55" i="17"/>
  <c r="H54" i="17"/>
  <c r="H52" i="17"/>
  <c r="H51" i="17"/>
  <c r="H50" i="17"/>
  <c r="H49" i="17"/>
  <c r="H48" i="17"/>
  <c r="H47" i="17"/>
  <c r="H46" i="17"/>
  <c r="H44" i="17"/>
  <c r="H43" i="17"/>
  <c r="H42" i="17"/>
  <c r="H41" i="17"/>
  <c r="H40" i="17"/>
  <c r="H39" i="17"/>
  <c r="H38" i="17"/>
  <c r="H36" i="17"/>
  <c r="H35" i="17"/>
  <c r="H34" i="17"/>
  <c r="H33" i="17"/>
  <c r="H32" i="17"/>
  <c r="H31" i="17"/>
  <c r="H30" i="17"/>
  <c r="H28" i="17"/>
  <c r="H27" i="17"/>
  <c r="H26" i="17"/>
  <c r="H25" i="17"/>
  <c r="H24" i="17"/>
  <c r="H23" i="17"/>
  <c r="H22" i="17"/>
  <c r="H20" i="17"/>
  <c r="H19" i="17"/>
  <c r="H18" i="17"/>
  <c r="H17" i="17"/>
  <c r="H16" i="17"/>
  <c r="H15" i="17"/>
  <c r="H14" i="17"/>
  <c r="H12" i="17"/>
  <c r="H11" i="17"/>
  <c r="H10" i="17"/>
  <c r="H9" i="17"/>
  <c r="H8" i="17"/>
  <c r="H7" i="17"/>
  <c r="H6" i="17"/>
  <c r="B19" i="19" l="1"/>
  <c r="B18" i="19" s="1"/>
  <c r="I64" i="17"/>
  <c r="H64" i="17"/>
  <c r="M18" i="18" s="1"/>
  <c r="D112" i="25" l="1"/>
  <c r="B18" i="27" s="1"/>
  <c r="I13" i="35"/>
  <c r="I12" i="35"/>
  <c r="C4" i="35"/>
  <c r="C4" i="34"/>
  <c r="B14" i="19"/>
  <c r="B13" i="19"/>
  <c r="B12" i="19"/>
  <c r="I13" i="33"/>
  <c r="I12" i="33"/>
  <c r="C4" i="32"/>
  <c r="E36" i="4"/>
  <c r="D112" i="3"/>
  <c r="I56" i="33" l="1"/>
  <c r="F4" i="33" s="1"/>
  <c r="J4" i="33" s="1"/>
  <c r="F7" i="33" s="1"/>
  <c r="I56" i="35"/>
  <c r="F4" i="35" s="1"/>
  <c r="J4" i="35" s="1"/>
  <c r="F7" i="35" s="1"/>
  <c r="I13" i="31"/>
  <c r="I12" i="31"/>
  <c r="C4" i="31"/>
  <c r="G11" i="30"/>
  <c r="E20" i="30"/>
  <c r="B23" i="19" s="1"/>
  <c r="E21" i="30"/>
  <c r="B24" i="19" s="1"/>
  <c r="E22" i="30"/>
  <c r="B25" i="19" s="1"/>
  <c r="E23" i="30"/>
  <c r="B26" i="19" s="1"/>
  <c r="E24" i="30"/>
  <c r="B27" i="19" s="1"/>
  <c r="E19" i="30"/>
  <c r="B22" i="19" s="1"/>
  <c r="K7" i="30"/>
  <c r="K7" i="32" s="1"/>
  <c r="K7" i="34" s="1"/>
  <c r="K7" i="37" s="1"/>
  <c r="K8" i="30"/>
  <c r="K6" i="30"/>
  <c r="K6" i="32" s="1"/>
  <c r="K6" i="34" s="1"/>
  <c r="K6" i="37" s="1"/>
  <c r="G7" i="30"/>
  <c r="G7" i="32" s="1"/>
  <c r="G7" i="34" s="1"/>
  <c r="G7" i="37" s="1"/>
  <c r="G8" i="30"/>
  <c r="G6" i="30"/>
  <c r="G6" i="32" s="1"/>
  <c r="G6" i="34" s="1"/>
  <c r="G6" i="37" s="1"/>
  <c r="C7" i="30"/>
  <c r="C7" i="32" s="1"/>
  <c r="C7" i="34" s="1"/>
  <c r="C7" i="37" s="1"/>
  <c r="C8" i="30"/>
  <c r="C6" i="30"/>
  <c r="C6" i="32" s="1"/>
  <c r="C6" i="34" s="1"/>
  <c r="C6" i="37" s="1"/>
  <c r="C4" i="30"/>
  <c r="C8" i="32" l="1"/>
  <c r="H59" i="44"/>
  <c r="A4" i="44"/>
  <c r="H53" i="44"/>
  <c r="H47" i="44"/>
  <c r="H41" i="44"/>
  <c r="K8" i="32"/>
  <c r="E4" i="44"/>
  <c r="G8" i="32"/>
  <c r="C4" i="44"/>
  <c r="B29" i="19"/>
  <c r="G11" i="32"/>
  <c r="E24" i="32"/>
  <c r="E23" i="32"/>
  <c r="E19" i="32"/>
  <c r="E22" i="32"/>
  <c r="E21" i="32"/>
  <c r="E20" i="32"/>
  <c r="I56" i="31"/>
  <c r="F4" i="31" s="1"/>
  <c r="J4" i="31" s="1"/>
  <c r="F7" i="31" s="1"/>
  <c r="G10" i="30"/>
  <c r="C6" i="44" s="1"/>
  <c r="K8" i="34" l="1"/>
  <c r="E4" i="45"/>
  <c r="G8" i="34"/>
  <c r="C4" i="45"/>
  <c r="C8" i="34"/>
  <c r="H59" i="45"/>
  <c r="A4" i="45"/>
  <c r="H53" i="45"/>
  <c r="H47" i="45"/>
  <c r="H41" i="45"/>
  <c r="B24" i="23"/>
  <c r="E21" i="34"/>
  <c r="B25" i="23"/>
  <c r="E22" i="34"/>
  <c r="B26" i="23"/>
  <c r="E23" i="34"/>
  <c r="B27" i="23"/>
  <c r="E24" i="34"/>
  <c r="B29" i="23"/>
  <c r="G11" i="34"/>
  <c r="B29" i="27" s="1"/>
  <c r="B23" i="23"/>
  <c r="E20" i="34"/>
  <c r="B22" i="23"/>
  <c r="E19" i="34"/>
  <c r="G10" i="32"/>
  <c r="C6" i="45" s="1"/>
  <c r="C8" i="37" l="1"/>
  <c r="H59" i="46"/>
  <c r="A4" i="46"/>
  <c r="H53" i="46"/>
  <c r="H47" i="46"/>
  <c r="H41" i="46"/>
  <c r="G8" i="37"/>
  <c r="C4" i="47" s="1"/>
  <c r="C4" i="46"/>
  <c r="K8" i="37"/>
  <c r="E4" i="47" s="1"/>
  <c r="E4" i="46"/>
  <c r="B26" i="27"/>
  <c r="E23" i="37"/>
  <c r="B26" i="42" s="1"/>
  <c r="B27" i="27"/>
  <c r="E24" i="37"/>
  <c r="B27" i="42" s="1"/>
  <c r="B23" i="27"/>
  <c r="E20" i="37"/>
  <c r="B23" i="42" s="1"/>
  <c r="B25" i="27"/>
  <c r="E22" i="37"/>
  <c r="B25" i="42" s="1"/>
  <c r="B24" i="27"/>
  <c r="E21" i="37"/>
  <c r="B24" i="42" s="1"/>
  <c r="B22" i="27"/>
  <c r="E19" i="37"/>
  <c r="B5" i="13"/>
  <c r="D13" i="7"/>
  <c r="D14" i="7"/>
  <c r="D15" i="7"/>
  <c r="D16" i="7"/>
  <c r="D17" i="7"/>
  <c r="D18" i="7"/>
  <c r="D19" i="7"/>
  <c r="D20" i="7"/>
  <c r="D21" i="7"/>
  <c r="D22" i="7"/>
  <c r="D23" i="7"/>
  <c r="D24" i="7"/>
  <c r="D25" i="7"/>
  <c r="D25" i="38" s="1"/>
  <c r="D26" i="7"/>
  <c r="D26" i="38" s="1"/>
  <c r="D27" i="7"/>
  <c r="D27" i="38" s="1"/>
  <c r="D28" i="7"/>
  <c r="D28" i="38" s="1"/>
  <c r="D29" i="7"/>
  <c r="D29" i="38" s="1"/>
  <c r="D30" i="7"/>
  <c r="D30" i="38" s="1"/>
  <c r="D31" i="7"/>
  <c r="D31" i="38" s="1"/>
  <c r="D32" i="7"/>
  <c r="D32" i="38" s="1"/>
  <c r="D33" i="7"/>
  <c r="D33" i="38" s="1"/>
  <c r="D34" i="7"/>
  <c r="D34" i="38" s="1"/>
  <c r="D35" i="7"/>
  <c r="D35" i="38" s="1"/>
  <c r="D36" i="7"/>
  <c r="D36" i="38" s="1"/>
  <c r="D37" i="7"/>
  <c r="D37" i="38" s="1"/>
  <c r="D38" i="7"/>
  <c r="D38" i="38" s="1"/>
  <c r="D39" i="7"/>
  <c r="D40" i="7"/>
  <c r="D41" i="7"/>
  <c r="D42" i="7"/>
  <c r="D43" i="7"/>
  <c r="D44" i="7"/>
  <c r="D45" i="7"/>
  <c r="D46" i="7"/>
  <c r="D47" i="7"/>
  <c r="D48" i="7"/>
  <c r="D49" i="7"/>
  <c r="D50" i="7"/>
  <c r="D51" i="7"/>
  <c r="D52" i="7"/>
  <c r="D53" i="7"/>
  <c r="D54" i="7"/>
  <c r="D55" i="7"/>
  <c r="H53" i="47" l="1"/>
  <c r="H47" i="47"/>
  <c r="H41" i="47"/>
  <c r="H59" i="47"/>
  <c r="A4" i="47"/>
  <c r="G85" i="17"/>
  <c r="H85" i="17" s="1"/>
  <c r="G85" i="39"/>
  <c r="H85" i="39" s="1"/>
  <c r="D44" i="38"/>
  <c r="G95" i="17"/>
  <c r="H95" i="17" s="1"/>
  <c r="D54" i="38"/>
  <c r="G95" i="39"/>
  <c r="H95" i="39" s="1"/>
  <c r="G87" i="17"/>
  <c r="H87" i="17" s="1"/>
  <c r="D46" i="38"/>
  <c r="G87" i="39"/>
  <c r="H87" i="39" s="1"/>
  <c r="G77" i="17"/>
  <c r="H77" i="17" s="1"/>
  <c r="G77" i="39"/>
  <c r="H77" i="39" s="1"/>
  <c r="D22" i="38"/>
  <c r="G69" i="17"/>
  <c r="H69" i="17" s="1"/>
  <c r="D14" i="38"/>
  <c r="G69" i="39"/>
  <c r="H69" i="39" s="1"/>
  <c r="G91" i="17"/>
  <c r="H91" i="17" s="1"/>
  <c r="D50" i="38"/>
  <c r="G91" i="39"/>
  <c r="H91" i="39" s="1"/>
  <c r="G90" i="17"/>
  <c r="H90" i="17" s="1"/>
  <c r="G90" i="39"/>
  <c r="H90" i="39" s="1"/>
  <c r="D49" i="38"/>
  <c r="G94" i="17"/>
  <c r="H94" i="17" s="1"/>
  <c r="D53" i="38"/>
  <c r="G94" i="39"/>
  <c r="H94" i="39" s="1"/>
  <c r="G86" i="17"/>
  <c r="H86" i="17" s="1"/>
  <c r="G86" i="39"/>
  <c r="H86" i="39" s="1"/>
  <c r="D45" i="38"/>
  <c r="G76" i="17"/>
  <c r="H76" i="17" s="1"/>
  <c r="G76" i="39"/>
  <c r="H76" i="39" s="1"/>
  <c r="D21" i="38"/>
  <c r="G68" i="17"/>
  <c r="H68" i="17" s="1"/>
  <c r="D13" i="38"/>
  <c r="G68" i="39"/>
  <c r="H68" i="39" s="1"/>
  <c r="G75" i="17"/>
  <c r="H75" i="17" s="1"/>
  <c r="G75" i="39"/>
  <c r="H75" i="39" s="1"/>
  <c r="D20" i="38"/>
  <c r="G92" i="17"/>
  <c r="H92" i="17" s="1"/>
  <c r="G92" i="39"/>
  <c r="H92" i="39" s="1"/>
  <c r="D51" i="38"/>
  <c r="G84" i="17"/>
  <c r="H84" i="17" s="1"/>
  <c r="G84" i="39"/>
  <c r="H84" i="39" s="1"/>
  <c r="D43" i="38"/>
  <c r="G74" i="17"/>
  <c r="H74" i="17" s="1"/>
  <c r="G74" i="39"/>
  <c r="H74" i="39" s="1"/>
  <c r="D19" i="38"/>
  <c r="G73" i="17"/>
  <c r="H73" i="17" s="1"/>
  <c r="D18" i="38"/>
  <c r="G73" i="39"/>
  <c r="H73" i="39" s="1"/>
  <c r="G72" i="17"/>
  <c r="H72" i="17" s="1"/>
  <c r="G72" i="39"/>
  <c r="H72" i="39" s="1"/>
  <c r="D17" i="38"/>
  <c r="G93" i="17"/>
  <c r="H93" i="17" s="1"/>
  <c r="G93" i="39"/>
  <c r="H93" i="39" s="1"/>
  <c r="D52" i="38"/>
  <c r="G83" i="17"/>
  <c r="H83" i="17" s="1"/>
  <c r="D42" i="38"/>
  <c r="G83" i="39"/>
  <c r="H83" i="39" s="1"/>
  <c r="G82" i="17"/>
  <c r="H82" i="17" s="1"/>
  <c r="G82" i="39"/>
  <c r="H82" i="39" s="1"/>
  <c r="D41" i="38"/>
  <c r="G67" i="17"/>
  <c r="H67" i="17" s="1"/>
  <c r="G67" i="39"/>
  <c r="H67" i="39" s="1"/>
  <c r="D12" i="38"/>
  <c r="G89" i="17"/>
  <c r="H89" i="17" s="1"/>
  <c r="D48" i="38"/>
  <c r="G89" i="39"/>
  <c r="H89" i="39" s="1"/>
  <c r="G81" i="17"/>
  <c r="H81" i="17" s="1"/>
  <c r="D40" i="38"/>
  <c r="G81" i="39"/>
  <c r="H81" i="39" s="1"/>
  <c r="G79" i="17"/>
  <c r="H79" i="17" s="1"/>
  <c r="G79" i="39"/>
  <c r="H79" i="39" s="1"/>
  <c r="D24" i="38"/>
  <c r="G71" i="17"/>
  <c r="H71" i="17" s="1"/>
  <c r="D16" i="38"/>
  <c r="G71" i="39"/>
  <c r="H71" i="39" s="1"/>
  <c r="G96" i="17"/>
  <c r="H96" i="17" s="1"/>
  <c r="D55" i="38"/>
  <c r="G96" i="39"/>
  <c r="H96" i="39" s="1"/>
  <c r="G88" i="17"/>
  <c r="H88" i="17" s="1"/>
  <c r="D47" i="38"/>
  <c r="G88" i="39"/>
  <c r="H88" i="39" s="1"/>
  <c r="G80" i="17"/>
  <c r="H80" i="17" s="1"/>
  <c r="G80" i="39"/>
  <c r="H80" i="39" s="1"/>
  <c r="D39" i="38"/>
  <c r="G78" i="17"/>
  <c r="H78" i="17" s="1"/>
  <c r="G78" i="39"/>
  <c r="H78" i="39" s="1"/>
  <c r="D23" i="38"/>
  <c r="G70" i="17"/>
  <c r="H70" i="17" s="1"/>
  <c r="D15" i="38"/>
  <c r="G70" i="39"/>
  <c r="H70" i="39" s="1"/>
  <c r="B22" i="42"/>
  <c r="B28" i="42" s="1"/>
  <c r="B30" i="42" s="1"/>
  <c r="G10" i="37"/>
  <c r="C6" i="47" s="1"/>
  <c r="D41" i="35"/>
  <c r="D41" i="33"/>
  <c r="D41" i="31"/>
  <c r="D33" i="35"/>
  <c r="D33" i="33"/>
  <c r="D33" i="31"/>
  <c r="D25" i="35"/>
  <c r="D25" i="33"/>
  <c r="D25" i="31"/>
  <c r="D17" i="33"/>
  <c r="D17" i="35"/>
  <c r="D17" i="31"/>
  <c r="D12" i="35"/>
  <c r="D12" i="33"/>
  <c r="D12" i="31"/>
  <c r="D48" i="35"/>
  <c r="D48" i="33"/>
  <c r="D48" i="31"/>
  <c r="D40" i="35"/>
  <c r="D40" i="33"/>
  <c r="D40" i="31"/>
  <c r="D32" i="35"/>
  <c r="D32" i="33"/>
  <c r="D32" i="31"/>
  <c r="D24" i="35"/>
  <c r="D24" i="33"/>
  <c r="D24" i="31"/>
  <c r="D16" i="35"/>
  <c r="D16" i="33"/>
  <c r="D16" i="31"/>
  <c r="D55" i="35"/>
  <c r="D55" i="33"/>
  <c r="D55" i="31"/>
  <c r="D47" i="35"/>
  <c r="D47" i="33"/>
  <c r="D47" i="31"/>
  <c r="D39" i="35"/>
  <c r="D39" i="33"/>
  <c r="D39" i="31"/>
  <c r="D31" i="35"/>
  <c r="D31" i="33"/>
  <c r="D31" i="31"/>
  <c r="D23" i="35"/>
  <c r="D23" i="33"/>
  <c r="D23" i="31"/>
  <c r="D15" i="35"/>
  <c r="D15" i="33"/>
  <c r="D15" i="31"/>
  <c r="D38" i="35"/>
  <c r="D38" i="33"/>
  <c r="D38" i="31"/>
  <c r="D30" i="35"/>
  <c r="D30" i="33"/>
  <c r="D30" i="31"/>
  <c r="D22" i="35"/>
  <c r="D22" i="33"/>
  <c r="D22" i="31"/>
  <c r="D14" i="35"/>
  <c r="D14" i="33"/>
  <c r="D14" i="31"/>
  <c r="D54" i="35"/>
  <c r="D54" i="33"/>
  <c r="D54" i="31"/>
  <c r="D45" i="35"/>
  <c r="D45" i="33"/>
  <c r="D45" i="31"/>
  <c r="D37" i="35"/>
  <c r="D37" i="33"/>
  <c r="D37" i="31"/>
  <c r="D29" i="35"/>
  <c r="D29" i="33"/>
  <c r="D29" i="31"/>
  <c r="D21" i="35"/>
  <c r="D21" i="33"/>
  <c r="D21" i="31"/>
  <c r="D13" i="35"/>
  <c r="D13" i="33"/>
  <c r="D13" i="31"/>
  <c r="D46" i="35"/>
  <c r="D46" i="33"/>
  <c r="D46" i="31"/>
  <c r="D52" i="35"/>
  <c r="D52" i="33"/>
  <c r="D52" i="31"/>
  <c r="D44" i="35"/>
  <c r="D44" i="33"/>
  <c r="D44" i="31"/>
  <c r="D36" i="35"/>
  <c r="D36" i="33"/>
  <c r="D36" i="31"/>
  <c r="D28" i="35"/>
  <c r="D28" i="33"/>
  <c r="D28" i="31"/>
  <c r="D20" i="35"/>
  <c r="D20" i="33"/>
  <c r="D20" i="31"/>
  <c r="D53" i="35"/>
  <c r="D53" i="33"/>
  <c r="D53" i="31"/>
  <c r="D51" i="35"/>
  <c r="D51" i="33"/>
  <c r="D51" i="31"/>
  <c r="D43" i="35"/>
  <c r="D43" i="33"/>
  <c r="D43" i="31"/>
  <c r="D35" i="33"/>
  <c r="D35" i="35"/>
  <c r="D35" i="31"/>
  <c r="D27" i="35"/>
  <c r="D27" i="33"/>
  <c r="D27" i="31"/>
  <c r="D19" i="35"/>
  <c r="D19" i="33"/>
  <c r="D19" i="31"/>
  <c r="D49" i="35"/>
  <c r="D49" i="33"/>
  <c r="D49" i="31"/>
  <c r="D50" i="35"/>
  <c r="D50" i="33"/>
  <c r="D50" i="31"/>
  <c r="D42" i="35"/>
  <c r="D42" i="33"/>
  <c r="D42" i="31"/>
  <c r="D34" i="35"/>
  <c r="D34" i="33"/>
  <c r="D34" i="31"/>
  <c r="D26" i="35"/>
  <c r="D26" i="33"/>
  <c r="D26" i="31"/>
  <c r="D18" i="35"/>
  <c r="D18" i="33"/>
  <c r="D18" i="31"/>
  <c r="D30" i="13"/>
  <c r="C30" i="13"/>
  <c r="B23" i="13"/>
  <c r="B24" i="13"/>
  <c r="B25" i="13"/>
  <c r="B26" i="13"/>
  <c r="B27" i="13"/>
  <c r="B4" i="27" l="1"/>
  <c r="B4" i="19"/>
  <c r="B4" i="23"/>
  <c r="G94" i="25" l="1"/>
  <c r="H94" i="25" s="1"/>
  <c r="G94" i="21"/>
  <c r="H94" i="21" s="1"/>
  <c r="G93" i="21"/>
  <c r="H93" i="21" s="1"/>
  <c r="G93" i="25"/>
  <c r="H93" i="25" s="1"/>
  <c r="G85" i="25"/>
  <c r="H85" i="25" s="1"/>
  <c r="G85" i="21"/>
  <c r="H85" i="21" s="1"/>
  <c r="G95" i="21"/>
  <c r="H95" i="21" s="1"/>
  <c r="G95" i="25"/>
  <c r="H95" i="25" s="1"/>
  <c r="G86" i="21"/>
  <c r="H86" i="21" s="1"/>
  <c r="G86" i="25"/>
  <c r="H86" i="25" s="1"/>
  <c r="G74" i="25"/>
  <c r="H74" i="25" s="1"/>
  <c r="G74" i="21"/>
  <c r="H74" i="21" s="1"/>
  <c r="G84" i="21"/>
  <c r="H84" i="21" s="1"/>
  <c r="G84" i="25"/>
  <c r="H84" i="25" s="1"/>
  <c r="G91" i="25"/>
  <c r="H91" i="25" s="1"/>
  <c r="G91" i="21"/>
  <c r="H91" i="21" s="1"/>
  <c r="G83" i="25"/>
  <c r="H83" i="25" s="1"/>
  <c r="G83" i="21"/>
  <c r="H83" i="21" s="1"/>
  <c r="G73" i="21"/>
  <c r="H73" i="21" s="1"/>
  <c r="G73" i="25"/>
  <c r="H73" i="25" s="1"/>
  <c r="G92" i="25"/>
  <c r="H92" i="25" s="1"/>
  <c r="G92" i="21"/>
  <c r="H92" i="21" s="1"/>
  <c r="G90" i="21"/>
  <c r="H90" i="21" s="1"/>
  <c r="G90" i="25"/>
  <c r="H90" i="25" s="1"/>
  <c r="G82" i="21"/>
  <c r="H82" i="21" s="1"/>
  <c r="G82" i="25"/>
  <c r="H82" i="25" s="1"/>
  <c r="G72" i="25"/>
  <c r="H72" i="25" s="1"/>
  <c r="G72" i="21"/>
  <c r="H72" i="21" s="1"/>
  <c r="G87" i="25"/>
  <c r="H87" i="25" s="1"/>
  <c r="G87" i="21"/>
  <c r="H87" i="21" s="1"/>
  <c r="G67" i="25"/>
  <c r="H67" i="25" s="1"/>
  <c r="G67" i="21"/>
  <c r="H67" i="21" s="1"/>
  <c r="G89" i="21"/>
  <c r="H89" i="21" s="1"/>
  <c r="G89" i="25"/>
  <c r="H89" i="25" s="1"/>
  <c r="G81" i="21"/>
  <c r="H81" i="21" s="1"/>
  <c r="G81" i="25"/>
  <c r="H81" i="25" s="1"/>
  <c r="G79" i="21"/>
  <c r="H79" i="21" s="1"/>
  <c r="G79" i="25"/>
  <c r="H79" i="25" s="1"/>
  <c r="G71" i="25"/>
  <c r="H71" i="25" s="1"/>
  <c r="G71" i="21"/>
  <c r="H71" i="21" s="1"/>
  <c r="G77" i="25"/>
  <c r="H77" i="25" s="1"/>
  <c r="G77" i="21"/>
  <c r="H77" i="21" s="1"/>
  <c r="G96" i="21"/>
  <c r="H96" i="21" s="1"/>
  <c r="G96" i="25"/>
  <c r="H96" i="25" s="1"/>
  <c r="G88" i="21"/>
  <c r="H88" i="21" s="1"/>
  <c r="G88" i="25"/>
  <c r="H88" i="25" s="1"/>
  <c r="G80" i="21"/>
  <c r="H80" i="21" s="1"/>
  <c r="G80" i="25"/>
  <c r="H80" i="25" s="1"/>
  <c r="G78" i="25"/>
  <c r="H78" i="25" s="1"/>
  <c r="G78" i="21"/>
  <c r="H78" i="21" s="1"/>
  <c r="G70" i="25"/>
  <c r="H70" i="25" s="1"/>
  <c r="G70" i="21"/>
  <c r="H70" i="21" s="1"/>
  <c r="G69" i="25"/>
  <c r="H69" i="25" s="1"/>
  <c r="G69" i="21"/>
  <c r="H69" i="21" s="1"/>
  <c r="G76" i="25"/>
  <c r="H76" i="25" s="1"/>
  <c r="G76" i="21"/>
  <c r="H76" i="21" s="1"/>
  <c r="G68" i="21"/>
  <c r="H68" i="21" s="1"/>
  <c r="G68" i="25"/>
  <c r="H68" i="25" s="1"/>
  <c r="G75" i="25"/>
  <c r="H75" i="25" s="1"/>
  <c r="G75" i="21"/>
  <c r="H75" i="21" s="1"/>
  <c r="H97" i="3"/>
  <c r="H98" i="3"/>
  <c r="H99" i="3"/>
  <c r="H100" i="3"/>
  <c r="H101" i="3"/>
  <c r="H102" i="3"/>
  <c r="H103" i="3"/>
  <c r="H104" i="3"/>
  <c r="H105" i="3"/>
  <c r="H106" i="3"/>
  <c r="H107" i="3"/>
  <c r="H108" i="3"/>
  <c r="H109" i="3"/>
  <c r="H110" i="3"/>
  <c r="G68" i="3" l="1"/>
  <c r="H68" i="3" s="1"/>
  <c r="G69" i="3"/>
  <c r="H69" i="3" s="1"/>
  <c r="G71" i="3"/>
  <c r="H71" i="3" s="1"/>
  <c r="G72" i="3"/>
  <c r="H72" i="3" s="1"/>
  <c r="G73" i="3"/>
  <c r="H73" i="3" s="1"/>
  <c r="G74" i="3"/>
  <c r="H74" i="3" s="1"/>
  <c r="G75" i="3"/>
  <c r="H75" i="3" s="1"/>
  <c r="G76" i="3"/>
  <c r="H76" i="3" s="1"/>
  <c r="G77" i="3"/>
  <c r="H77" i="3" s="1"/>
  <c r="G78" i="3"/>
  <c r="H78" i="3" s="1"/>
  <c r="G79" i="3"/>
  <c r="H79" i="3" s="1"/>
  <c r="G80" i="3"/>
  <c r="H80" i="3" s="1"/>
  <c r="G81" i="3"/>
  <c r="H81" i="3" s="1"/>
  <c r="G82" i="3"/>
  <c r="H82" i="3" s="1"/>
  <c r="G83" i="3"/>
  <c r="H83" i="3" s="1"/>
  <c r="G84" i="3"/>
  <c r="H84" i="3" s="1"/>
  <c r="G85" i="3"/>
  <c r="H85" i="3" s="1"/>
  <c r="G86" i="3"/>
  <c r="H86" i="3" s="1"/>
  <c r="G87" i="3"/>
  <c r="H87" i="3" s="1"/>
  <c r="G88" i="3"/>
  <c r="H88" i="3" s="1"/>
  <c r="G89" i="3"/>
  <c r="H89" i="3" s="1"/>
  <c r="G90" i="3"/>
  <c r="H90" i="3" s="1"/>
  <c r="G91" i="3"/>
  <c r="H91" i="3" s="1"/>
  <c r="G92" i="3"/>
  <c r="H92" i="3" s="1"/>
  <c r="G93" i="3"/>
  <c r="H93" i="3" s="1"/>
  <c r="G94" i="3"/>
  <c r="H94" i="3" s="1"/>
  <c r="G95" i="3"/>
  <c r="H95" i="3" s="1"/>
  <c r="G96" i="3"/>
  <c r="H96" i="3" s="1"/>
  <c r="G70" i="3" l="1"/>
  <c r="H70" i="3" s="1"/>
  <c r="G67" i="3"/>
  <c r="H67" i="3" s="1"/>
  <c r="B5" i="27"/>
  <c r="I62" i="24"/>
  <c r="M22" i="26" s="1"/>
  <c r="B16" i="27" s="1"/>
  <c r="I60" i="24"/>
  <c r="K13" i="26" s="1"/>
  <c r="I59" i="24"/>
  <c r="J13" i="26" s="1"/>
  <c r="I58" i="24"/>
  <c r="I13" i="26" s="1"/>
  <c r="I57" i="24"/>
  <c r="H13" i="26" s="1"/>
  <c r="I56" i="24"/>
  <c r="G13" i="26" s="1"/>
  <c r="I55" i="24"/>
  <c r="E13" i="26" s="1"/>
  <c r="I54" i="24"/>
  <c r="C13" i="26" s="1"/>
  <c r="I52" i="24"/>
  <c r="K12" i="26" s="1"/>
  <c r="I51" i="24"/>
  <c r="J12" i="26" s="1"/>
  <c r="I50" i="24"/>
  <c r="I12" i="26" s="1"/>
  <c r="I49" i="24"/>
  <c r="H12" i="26" s="1"/>
  <c r="I48" i="24"/>
  <c r="G12" i="26" s="1"/>
  <c r="I47" i="24"/>
  <c r="E12" i="26" s="1"/>
  <c r="I46" i="24"/>
  <c r="C12" i="26" s="1"/>
  <c r="I44" i="24"/>
  <c r="K11" i="26" s="1"/>
  <c r="I43" i="24"/>
  <c r="J11" i="26" s="1"/>
  <c r="I42" i="24"/>
  <c r="I11" i="26" s="1"/>
  <c r="I41" i="24"/>
  <c r="H11" i="26" s="1"/>
  <c r="I40" i="24"/>
  <c r="G11" i="26" s="1"/>
  <c r="I39" i="24"/>
  <c r="E11" i="26" s="1"/>
  <c r="I38" i="24"/>
  <c r="C11" i="26" s="1"/>
  <c r="I36" i="24"/>
  <c r="K9" i="26" s="1"/>
  <c r="I35" i="24"/>
  <c r="J9" i="26" s="1"/>
  <c r="I34" i="24"/>
  <c r="I9" i="26" s="1"/>
  <c r="I33" i="24"/>
  <c r="H9" i="26" s="1"/>
  <c r="I32" i="24"/>
  <c r="G9" i="26" s="1"/>
  <c r="I31" i="24"/>
  <c r="E9" i="26" s="1"/>
  <c r="I30" i="24"/>
  <c r="C9" i="26" s="1"/>
  <c r="I28" i="24"/>
  <c r="K8" i="26" s="1"/>
  <c r="I27" i="24"/>
  <c r="J8" i="26" s="1"/>
  <c r="I26" i="24"/>
  <c r="I8" i="26" s="1"/>
  <c r="I25" i="24"/>
  <c r="H8" i="26" s="1"/>
  <c r="I24" i="24"/>
  <c r="G8" i="26" s="1"/>
  <c r="I23" i="24"/>
  <c r="E8" i="26" s="1"/>
  <c r="I22" i="24"/>
  <c r="C8" i="26" s="1"/>
  <c r="I20" i="24"/>
  <c r="K7" i="26" s="1"/>
  <c r="I19" i="24"/>
  <c r="J7" i="26" s="1"/>
  <c r="I18" i="24"/>
  <c r="I7" i="26" s="1"/>
  <c r="I17" i="24"/>
  <c r="H7" i="26" s="1"/>
  <c r="I16" i="24"/>
  <c r="G7" i="26" s="1"/>
  <c r="I15" i="24"/>
  <c r="E7" i="26" s="1"/>
  <c r="I14" i="24"/>
  <c r="C7" i="26" s="1"/>
  <c r="I12" i="24"/>
  <c r="K6" i="26" s="1"/>
  <c r="I11" i="24"/>
  <c r="J6" i="26" s="1"/>
  <c r="I10" i="24"/>
  <c r="I6" i="26" s="1"/>
  <c r="I9" i="24"/>
  <c r="H6" i="26" s="1"/>
  <c r="I8" i="24"/>
  <c r="G6" i="26" s="1"/>
  <c r="I7" i="24"/>
  <c r="E6" i="26" s="1"/>
  <c r="I6" i="24"/>
  <c r="C6" i="26" s="1"/>
  <c r="B5" i="23"/>
  <c r="I62" i="20"/>
  <c r="M22" i="22" s="1"/>
  <c r="B16" i="23" s="1"/>
  <c r="I60" i="20"/>
  <c r="K13" i="22" s="1"/>
  <c r="I59" i="20"/>
  <c r="J13" i="22" s="1"/>
  <c r="I58" i="20"/>
  <c r="I13" i="22" s="1"/>
  <c r="I57" i="20"/>
  <c r="H13" i="22" s="1"/>
  <c r="I56" i="20"/>
  <c r="G13" i="22" s="1"/>
  <c r="I55" i="20"/>
  <c r="E13" i="22" s="1"/>
  <c r="I54" i="20"/>
  <c r="C13" i="22" s="1"/>
  <c r="I52" i="20"/>
  <c r="K12" i="22" s="1"/>
  <c r="I51" i="20"/>
  <c r="J12" i="22" s="1"/>
  <c r="I50" i="20"/>
  <c r="I12" i="22" s="1"/>
  <c r="I49" i="20"/>
  <c r="H12" i="22" s="1"/>
  <c r="I48" i="20"/>
  <c r="G12" i="22" s="1"/>
  <c r="I47" i="20"/>
  <c r="E12" i="22" s="1"/>
  <c r="I46" i="20"/>
  <c r="C12" i="22" s="1"/>
  <c r="I44" i="20"/>
  <c r="K11" i="22" s="1"/>
  <c r="I43" i="20"/>
  <c r="J11" i="22" s="1"/>
  <c r="I42" i="20"/>
  <c r="I11" i="22" s="1"/>
  <c r="I41" i="20"/>
  <c r="H11" i="22" s="1"/>
  <c r="I40" i="20"/>
  <c r="G11" i="22" s="1"/>
  <c r="I39" i="20"/>
  <c r="E11" i="22" s="1"/>
  <c r="I38" i="20"/>
  <c r="C11" i="22" s="1"/>
  <c r="I36" i="20"/>
  <c r="K9" i="22" s="1"/>
  <c r="I35" i="20"/>
  <c r="J9" i="22" s="1"/>
  <c r="I34" i="20"/>
  <c r="I9" i="22" s="1"/>
  <c r="I33" i="20"/>
  <c r="H9" i="22" s="1"/>
  <c r="I32" i="20"/>
  <c r="G9" i="22" s="1"/>
  <c r="I31" i="20"/>
  <c r="E9" i="22" s="1"/>
  <c r="I30" i="20"/>
  <c r="C9" i="22" s="1"/>
  <c r="I28" i="20"/>
  <c r="K8" i="22" s="1"/>
  <c r="I27" i="20"/>
  <c r="J8" i="22" s="1"/>
  <c r="I26" i="20"/>
  <c r="I8" i="22" s="1"/>
  <c r="I25" i="20"/>
  <c r="H8" i="22" s="1"/>
  <c r="I24" i="20"/>
  <c r="G8" i="22" s="1"/>
  <c r="I23" i="20"/>
  <c r="E8" i="22" s="1"/>
  <c r="I22" i="20"/>
  <c r="C8" i="22" s="1"/>
  <c r="I20" i="20"/>
  <c r="K7" i="22" s="1"/>
  <c r="I19" i="20"/>
  <c r="I18" i="20"/>
  <c r="I17" i="20"/>
  <c r="H7" i="22" s="1"/>
  <c r="I16" i="20"/>
  <c r="G7" i="22" s="1"/>
  <c r="I15" i="20"/>
  <c r="E7" i="22" s="1"/>
  <c r="I14" i="20"/>
  <c r="C7" i="22" s="1"/>
  <c r="I12" i="20"/>
  <c r="K6" i="22" s="1"/>
  <c r="I11" i="20"/>
  <c r="J6" i="22" s="1"/>
  <c r="I10" i="20"/>
  <c r="I6" i="22" s="1"/>
  <c r="I9" i="20"/>
  <c r="H6" i="22" s="1"/>
  <c r="I8" i="20"/>
  <c r="G6" i="22" s="1"/>
  <c r="I7" i="20"/>
  <c r="E6" i="22" s="1"/>
  <c r="I6" i="20"/>
  <c r="C6" i="22" s="1"/>
  <c r="J15" i="26" l="1"/>
  <c r="M8" i="26"/>
  <c r="M7" i="26"/>
  <c r="K15" i="26"/>
  <c r="E15" i="26"/>
  <c r="M23" i="26"/>
  <c r="M9" i="26"/>
  <c r="C15" i="26"/>
  <c r="M6" i="26"/>
  <c r="G15" i="26"/>
  <c r="M13" i="26"/>
  <c r="H15" i="26"/>
  <c r="M12" i="26"/>
  <c r="I15" i="26"/>
  <c r="M11" i="26"/>
  <c r="E15" i="22"/>
  <c r="C15" i="22"/>
  <c r="M6" i="22"/>
  <c r="G15" i="22"/>
  <c r="M13" i="22"/>
  <c r="M12" i="22"/>
  <c r="I7" i="22"/>
  <c r="H15" i="22"/>
  <c r="J7" i="22"/>
  <c r="J15" i="22" s="1"/>
  <c r="I15" i="22"/>
  <c r="M11" i="22"/>
  <c r="M9" i="22"/>
  <c r="M23" i="22"/>
  <c r="B15" i="23" s="1"/>
  <c r="B28" i="23" s="1"/>
  <c r="K15" i="22"/>
  <c r="M8" i="22"/>
  <c r="I64" i="24"/>
  <c r="M17" i="26" s="1"/>
  <c r="I64" i="20"/>
  <c r="M17" i="22" s="1"/>
  <c r="M16" i="26" l="1"/>
  <c r="M24" i="26" s="1"/>
  <c r="G15" i="34"/>
  <c r="B15" i="27"/>
  <c r="B28" i="27" s="1"/>
  <c r="B30" i="27" s="1"/>
  <c r="M15" i="26"/>
  <c r="M7" i="22"/>
  <c r="M15" i="22" s="1"/>
  <c r="B30" i="23"/>
  <c r="G15" i="32"/>
  <c r="B5" i="19"/>
  <c r="M10" i="18"/>
  <c r="I62" i="16"/>
  <c r="M22" i="18" s="1"/>
  <c r="B16" i="19" s="1"/>
  <c r="I60" i="16"/>
  <c r="I59" i="16"/>
  <c r="J13" i="18" s="1"/>
  <c r="I58" i="16"/>
  <c r="I57" i="16"/>
  <c r="I56" i="16"/>
  <c r="I55" i="16"/>
  <c r="I54" i="16"/>
  <c r="I52" i="16"/>
  <c r="I51" i="16"/>
  <c r="J12" i="18" s="1"/>
  <c r="I50" i="16"/>
  <c r="I49" i="16"/>
  <c r="I48" i="16"/>
  <c r="I47" i="16"/>
  <c r="I46" i="16"/>
  <c r="I44" i="16"/>
  <c r="I43" i="16"/>
  <c r="J11" i="18" s="1"/>
  <c r="I42" i="16"/>
  <c r="I41" i="16"/>
  <c r="I40" i="16"/>
  <c r="I39" i="16"/>
  <c r="I38" i="16"/>
  <c r="I36" i="16"/>
  <c r="E36" i="16"/>
  <c r="I35" i="16"/>
  <c r="I34" i="16"/>
  <c r="I33" i="16"/>
  <c r="I32" i="16"/>
  <c r="I31" i="16"/>
  <c r="I30" i="16"/>
  <c r="I28" i="16"/>
  <c r="I27" i="16"/>
  <c r="I26" i="16"/>
  <c r="I25" i="16"/>
  <c r="I24" i="16"/>
  <c r="I23" i="16"/>
  <c r="I22" i="16"/>
  <c r="I20" i="16"/>
  <c r="I19" i="16"/>
  <c r="I18" i="16"/>
  <c r="I17" i="16"/>
  <c r="I16" i="16"/>
  <c r="I15" i="16"/>
  <c r="I14" i="16"/>
  <c r="I12" i="16"/>
  <c r="I11" i="16"/>
  <c r="I10" i="16"/>
  <c r="I9" i="16"/>
  <c r="I8" i="16"/>
  <c r="I7" i="16"/>
  <c r="I6" i="16"/>
  <c r="M20" i="26" l="1"/>
  <c r="M21" i="26" s="1"/>
  <c r="M16" i="22"/>
  <c r="C11" i="18"/>
  <c r="C12" i="18"/>
  <c r="C13" i="18"/>
  <c r="I11" i="18"/>
  <c r="I12" i="18"/>
  <c r="I13" i="18"/>
  <c r="C7" i="18"/>
  <c r="C8" i="18"/>
  <c r="C9" i="18"/>
  <c r="J6" i="18"/>
  <c r="J7" i="18"/>
  <c r="J8" i="18"/>
  <c r="J9" i="18"/>
  <c r="C6" i="18"/>
  <c r="K8" i="18"/>
  <c r="L8" i="18"/>
  <c r="K6" i="18"/>
  <c r="K7" i="18"/>
  <c r="L6" i="18"/>
  <c r="L7" i="18"/>
  <c r="E8" i="18"/>
  <c r="E6" i="18"/>
  <c r="E9" i="18"/>
  <c r="E11" i="18"/>
  <c r="E12" i="18"/>
  <c r="E13" i="18"/>
  <c r="E7" i="18"/>
  <c r="K9" i="18"/>
  <c r="K11" i="18"/>
  <c r="K12" i="18"/>
  <c r="K13" i="18"/>
  <c r="H6" i="18"/>
  <c r="H8" i="18"/>
  <c r="H9" i="18"/>
  <c r="H7" i="18"/>
  <c r="H11" i="18"/>
  <c r="H12" i="18"/>
  <c r="H13" i="18"/>
  <c r="L9" i="18"/>
  <c r="L11" i="18"/>
  <c r="L12" i="18"/>
  <c r="L13" i="18"/>
  <c r="G6" i="18"/>
  <c r="G8" i="18"/>
  <c r="G11" i="18"/>
  <c r="G12" i="18"/>
  <c r="G13" i="18"/>
  <c r="G7" i="18"/>
  <c r="G9" i="18"/>
  <c r="I6" i="18"/>
  <c r="I7" i="18"/>
  <c r="I8" i="18"/>
  <c r="I9" i="18"/>
  <c r="I64" i="16"/>
  <c r="M17" i="18" s="1"/>
  <c r="M20" i="22" l="1"/>
  <c r="M21" i="22" s="1"/>
  <c r="M24" i="22"/>
  <c r="M23" i="18"/>
  <c r="B15" i="19" s="1"/>
  <c r="B22" i="13"/>
  <c r="H36" i="3"/>
  <c r="H35" i="3"/>
  <c r="H34" i="3"/>
  <c r="H33" i="3"/>
  <c r="H32" i="3"/>
  <c r="H31" i="3"/>
  <c r="H30" i="3"/>
  <c r="I34" i="4"/>
  <c r="I36" i="4"/>
  <c r="I35" i="4"/>
  <c r="I33" i="4"/>
  <c r="I31" i="4"/>
  <c r="I32" i="4"/>
  <c r="I30" i="4"/>
  <c r="B19" i="13" l="1"/>
  <c r="G15" i="30"/>
  <c r="B28" i="19"/>
  <c r="B30" i="19" s="1"/>
  <c r="M9" i="18"/>
  <c r="G28" i="1"/>
  <c r="G29" i="1"/>
  <c r="G27" i="1"/>
  <c r="B13" i="13" l="1"/>
  <c r="B14" i="13"/>
  <c r="B12" i="13"/>
  <c r="H55" i="3"/>
  <c r="H54" i="3"/>
  <c r="H47" i="3"/>
  <c r="H46" i="3"/>
  <c r="H39" i="3"/>
  <c r="H38" i="3"/>
  <c r="H23" i="3"/>
  <c r="H22" i="3"/>
  <c r="H15" i="3"/>
  <c r="H14" i="3"/>
  <c r="H7" i="3"/>
  <c r="H6" i="3"/>
  <c r="H62" i="3"/>
  <c r="H60" i="3"/>
  <c r="H59" i="3"/>
  <c r="H58" i="3"/>
  <c r="H57" i="3"/>
  <c r="H56" i="3"/>
  <c r="H52" i="3"/>
  <c r="H51" i="3"/>
  <c r="H50" i="3"/>
  <c r="H49" i="3"/>
  <c r="H48" i="3"/>
  <c r="H44" i="3"/>
  <c r="H43" i="3"/>
  <c r="H42" i="3"/>
  <c r="H41" i="3"/>
  <c r="H40" i="3"/>
  <c r="H28" i="3"/>
  <c r="H27" i="3"/>
  <c r="H26" i="3"/>
  <c r="H25" i="3"/>
  <c r="H24" i="3"/>
  <c r="H20" i="3"/>
  <c r="H19" i="3"/>
  <c r="H18" i="3"/>
  <c r="H17" i="3"/>
  <c r="H16" i="3"/>
  <c r="H12" i="3"/>
  <c r="H11" i="3"/>
  <c r="H10" i="3"/>
  <c r="H9" i="3"/>
  <c r="H8" i="3"/>
  <c r="A6" i="46" l="1"/>
  <c r="A6" i="47"/>
  <c r="E6" i="47" s="1"/>
  <c r="A6" i="44"/>
  <c r="E6" i="44" s="1"/>
  <c r="A6" i="45"/>
  <c r="E6" i="45" s="1"/>
  <c r="I64" i="3"/>
  <c r="B20" i="13"/>
  <c r="B18" i="13" s="1"/>
  <c r="G9" i="37"/>
  <c r="A6" i="43"/>
  <c r="G9" i="34"/>
  <c r="H64" i="3"/>
  <c r="G9" i="32"/>
  <c r="G9" i="30"/>
  <c r="I6" i="4"/>
  <c r="I7" i="4"/>
  <c r="I8" i="4"/>
  <c r="I9" i="4"/>
  <c r="G12" i="37" l="1"/>
  <c r="G12" i="32"/>
  <c r="I15" i="32" s="1"/>
  <c r="G12" i="30"/>
  <c r="I15" i="30" s="1"/>
  <c r="A11" i="44" s="1"/>
  <c r="G10" i="2"/>
  <c r="C6" i="43" s="1"/>
  <c r="E6" i="43" s="1"/>
  <c r="C7" i="38" l="1"/>
  <c r="I15" i="37"/>
  <c r="A11" i="47" s="1"/>
  <c r="A11" i="45"/>
  <c r="G12" i="2"/>
  <c r="C7" i="31"/>
  <c r="K18" i="31" s="1"/>
  <c r="I56" i="7"/>
  <c r="C7" i="7" l="1"/>
  <c r="I15" i="2"/>
  <c r="K12" i="31"/>
  <c r="K36" i="31"/>
  <c r="K19" i="31"/>
  <c r="K54" i="31"/>
  <c r="K41" i="31"/>
  <c r="K20" i="31"/>
  <c r="K38" i="31"/>
  <c r="K48" i="31"/>
  <c r="K49" i="31"/>
  <c r="K21" i="31"/>
  <c r="K25" i="31"/>
  <c r="K26" i="31"/>
  <c r="K30" i="31"/>
  <c r="K39" i="31"/>
  <c r="K43" i="31"/>
  <c r="K14" i="31"/>
  <c r="K35" i="31"/>
  <c r="K24" i="31"/>
  <c r="K28" i="31"/>
  <c r="K33" i="31"/>
  <c r="K31" i="31"/>
  <c r="K52" i="31"/>
  <c r="K56" i="31"/>
  <c r="K42" i="31"/>
  <c r="K51" i="31"/>
  <c r="K23" i="31"/>
  <c r="K53" i="31"/>
  <c r="K45" i="31"/>
  <c r="K46" i="31"/>
  <c r="K44" i="31"/>
  <c r="K55" i="31"/>
  <c r="K17" i="31"/>
  <c r="K13" i="31"/>
  <c r="K22" i="31"/>
  <c r="K15" i="31"/>
  <c r="K50" i="31"/>
  <c r="K47" i="31"/>
  <c r="K37" i="31"/>
  <c r="K34" i="31"/>
  <c r="K16" i="31"/>
  <c r="K29" i="31"/>
  <c r="K27" i="31"/>
  <c r="K40" i="31"/>
  <c r="K32" i="31"/>
  <c r="F4" i="7"/>
  <c r="J4" i="7" s="1"/>
  <c r="F7" i="7" s="1"/>
  <c r="I11" i="2" s="1"/>
  <c r="G13" i="30" l="1"/>
  <c r="K37" i="7"/>
  <c r="N24" i="18" l="1"/>
  <c r="D113" i="17"/>
  <c r="G14" i="30"/>
  <c r="K49" i="7"/>
  <c r="K34" i="7"/>
  <c r="K18" i="7"/>
  <c r="K30" i="7"/>
  <c r="K41" i="7"/>
  <c r="K56" i="7"/>
  <c r="K45" i="7"/>
  <c r="K17" i="7"/>
  <c r="K21" i="7"/>
  <c r="K48" i="7"/>
  <c r="K55" i="7"/>
  <c r="K43" i="7"/>
  <c r="K40" i="7"/>
  <c r="K39" i="7"/>
  <c r="K53" i="7"/>
  <c r="K50" i="7"/>
  <c r="K24" i="7"/>
  <c r="K23" i="7"/>
  <c r="K29" i="7"/>
  <c r="K42" i="7"/>
  <c r="K15" i="7"/>
  <c r="K46" i="7"/>
  <c r="K38" i="7"/>
  <c r="K51" i="7"/>
  <c r="K35" i="7"/>
  <c r="K25" i="7"/>
  <c r="K27" i="7"/>
  <c r="K32" i="7"/>
  <c r="K14" i="7"/>
  <c r="K13" i="7"/>
  <c r="K31" i="7"/>
  <c r="K52" i="7"/>
  <c r="K44" i="7"/>
  <c r="K19" i="7"/>
  <c r="K12" i="7"/>
  <c r="K33" i="7"/>
  <c r="K54" i="7"/>
  <c r="K36" i="7"/>
  <c r="K28" i="7"/>
  <c r="K26" i="7"/>
  <c r="K16" i="7"/>
  <c r="K47" i="7"/>
  <c r="K22" i="7"/>
  <c r="K20" i="7"/>
  <c r="I56" i="4"/>
  <c r="I55" i="4"/>
  <c r="I54" i="4"/>
  <c r="I47" i="4"/>
  <c r="I46" i="4"/>
  <c r="I39" i="4"/>
  <c r="I38" i="4"/>
  <c r="I23" i="4"/>
  <c r="I22" i="4"/>
  <c r="I15" i="4"/>
  <c r="I14" i="4"/>
  <c r="E37" i="16" l="1"/>
  <c r="E15" i="18"/>
  <c r="C15" i="18"/>
  <c r="I62" i="4"/>
  <c r="I60" i="4"/>
  <c r="I59" i="4"/>
  <c r="I58" i="4"/>
  <c r="I57" i="4"/>
  <c r="I52" i="4"/>
  <c r="I51" i="4"/>
  <c r="I50" i="4"/>
  <c r="I49" i="4"/>
  <c r="I48" i="4"/>
  <c r="I44" i="4"/>
  <c r="I43" i="4"/>
  <c r="I42" i="4"/>
  <c r="I41" i="4"/>
  <c r="I40" i="4"/>
  <c r="I28" i="4"/>
  <c r="I27" i="4"/>
  <c r="I26" i="4"/>
  <c r="I25" i="4"/>
  <c r="I24" i="4"/>
  <c r="I20" i="4"/>
  <c r="I19" i="4"/>
  <c r="I18" i="4"/>
  <c r="I17" i="4"/>
  <c r="I16" i="4"/>
  <c r="I12" i="4"/>
  <c r="I11" i="4"/>
  <c r="I10" i="4"/>
  <c r="I64" i="4" l="1"/>
  <c r="M17" i="1" s="1"/>
  <c r="M13" i="18"/>
  <c r="H15" i="18"/>
  <c r="M12" i="18"/>
  <c r="I15" i="18"/>
  <c r="M11" i="18"/>
  <c r="J15" i="18"/>
  <c r="M8" i="18"/>
  <c r="M6" i="18"/>
  <c r="K15" i="18"/>
  <c r="G15" i="18"/>
  <c r="M7" i="18"/>
  <c r="L15" i="18"/>
  <c r="M16" i="18" l="1"/>
  <c r="M15" i="18"/>
  <c r="C6" i="1"/>
  <c r="J6" i="1"/>
  <c r="E7" i="1"/>
  <c r="H7" i="1"/>
  <c r="L7" i="1"/>
  <c r="J8" i="1"/>
  <c r="E9" i="1"/>
  <c r="H9" i="1"/>
  <c r="L9" i="1"/>
  <c r="J11" i="1"/>
  <c r="E12" i="1"/>
  <c r="H12" i="1"/>
  <c r="L12" i="1"/>
  <c r="J13" i="1"/>
  <c r="I6" i="1"/>
  <c r="C7" i="1"/>
  <c r="G7" i="1"/>
  <c r="K7" i="1"/>
  <c r="I8" i="1"/>
  <c r="C9" i="1"/>
  <c r="G9" i="1"/>
  <c r="K9" i="1"/>
  <c r="I11" i="1"/>
  <c r="C12" i="1"/>
  <c r="G12" i="1"/>
  <c r="K12" i="1"/>
  <c r="I13" i="1"/>
  <c r="M22" i="1"/>
  <c r="G6" i="1"/>
  <c r="K6" i="1"/>
  <c r="I7" i="1"/>
  <c r="C8" i="1"/>
  <c r="G8" i="1"/>
  <c r="K8" i="1"/>
  <c r="I9" i="1"/>
  <c r="C11" i="1"/>
  <c r="G11" i="1"/>
  <c r="K11" i="1"/>
  <c r="I12" i="1"/>
  <c r="C13" i="1"/>
  <c r="G13" i="1"/>
  <c r="K13" i="1"/>
  <c r="E6" i="1"/>
  <c r="H6" i="1"/>
  <c r="L6" i="1"/>
  <c r="J7" i="1"/>
  <c r="E8" i="1"/>
  <c r="H8" i="1"/>
  <c r="L8" i="1"/>
  <c r="J9" i="1"/>
  <c r="E11" i="1"/>
  <c r="H11" i="1"/>
  <c r="L11" i="1"/>
  <c r="J12" i="1"/>
  <c r="E13" i="1"/>
  <c r="H13" i="1"/>
  <c r="L13" i="1"/>
  <c r="B16" i="13" l="1"/>
  <c r="M20" i="18"/>
  <c r="M21" i="18" s="1"/>
  <c r="M24" i="18"/>
  <c r="M18" i="1"/>
  <c r="M23" i="1"/>
  <c r="G15" i="1"/>
  <c r="B15" i="13" l="1"/>
  <c r="B28" i="13" s="1"/>
  <c r="B30" i="13" s="1"/>
  <c r="A11" i="43"/>
  <c r="L15" i="1"/>
  <c r="K15" i="1"/>
  <c r="J15" i="1"/>
  <c r="I15" i="1"/>
  <c r="H15" i="1"/>
  <c r="E15" i="1"/>
  <c r="C15" i="1"/>
  <c r="M13" i="1"/>
  <c r="M12" i="1"/>
  <c r="M11" i="1"/>
  <c r="M10" i="1"/>
  <c r="M9" i="1"/>
  <c r="G15" i="2" s="1"/>
  <c r="M8" i="1"/>
  <c r="M7" i="1"/>
  <c r="M6" i="1"/>
  <c r="M16" i="1" l="1"/>
  <c r="M24" i="1" s="1"/>
  <c r="M15" i="1"/>
  <c r="M20" i="1" l="1"/>
  <c r="M21" i="1" s="1"/>
  <c r="E11" i="43" s="1"/>
  <c r="G13" i="2"/>
  <c r="I11" i="30" l="1"/>
  <c r="G14" i="2"/>
  <c r="D114" i="17"/>
  <c r="N24" i="1"/>
  <c r="D113" i="3"/>
  <c r="D114" i="3" s="1"/>
  <c r="H28" i="41" l="1"/>
  <c r="F16" i="37" s="1"/>
  <c r="H27" i="41"/>
  <c r="B16" i="37" s="1"/>
  <c r="H29" i="41"/>
  <c r="J16" i="37" s="1"/>
  <c r="H27" i="26"/>
  <c r="H28" i="22"/>
  <c r="H29" i="26"/>
  <c r="H29" i="22"/>
  <c r="H28" i="26"/>
  <c r="H27" i="22"/>
  <c r="H28" i="1"/>
  <c r="H27" i="18"/>
  <c r="H29" i="1"/>
  <c r="H29" i="18"/>
  <c r="H27" i="1"/>
  <c r="H28" i="18"/>
  <c r="E38" i="16"/>
  <c r="E37" i="4"/>
  <c r="E38" i="4" s="1"/>
  <c r="J16" i="34" l="1"/>
  <c r="F16" i="34"/>
  <c r="B16" i="34"/>
  <c r="B16" i="32"/>
  <c r="F16" i="32"/>
  <c r="J16" i="32"/>
  <c r="J16" i="30"/>
  <c r="B16" i="30"/>
  <c r="F16" i="30"/>
  <c r="B16" i="2"/>
  <c r="J16" i="2"/>
  <c r="F16" i="2"/>
  <c r="C7" i="33"/>
  <c r="K55" i="33" l="1"/>
  <c r="K50" i="33"/>
  <c r="K30" i="33"/>
  <c r="K45" i="33"/>
  <c r="K32" i="33"/>
  <c r="K39" i="33"/>
  <c r="K17" i="33"/>
  <c r="K13" i="33"/>
  <c r="K46" i="33"/>
  <c r="K51" i="33"/>
  <c r="K56" i="33"/>
  <c r="K34" i="33"/>
  <c r="K12" i="33"/>
  <c r="K16" i="33"/>
  <c r="K21" i="33"/>
  <c r="K14" i="33"/>
  <c r="K38" i="33"/>
  <c r="K26" i="33"/>
  <c r="K28" i="33"/>
  <c r="K42" i="33"/>
  <c r="K48" i="33"/>
  <c r="K18" i="33"/>
  <c r="K23" i="33"/>
  <c r="K54" i="33"/>
  <c r="K19" i="33"/>
  <c r="K24" i="33"/>
  <c r="K36" i="33"/>
  <c r="K41" i="33"/>
  <c r="K20" i="33"/>
  <c r="K37" i="33"/>
  <c r="K40" i="33"/>
  <c r="K27" i="33"/>
  <c r="K29" i="33"/>
  <c r="K31" i="33"/>
  <c r="K35" i="33"/>
  <c r="K44" i="33"/>
  <c r="K43" i="33"/>
  <c r="K49" i="33"/>
  <c r="K53" i="33"/>
  <c r="K22" i="33"/>
  <c r="K47" i="33"/>
  <c r="K33" i="33"/>
  <c r="K25" i="33"/>
  <c r="K52" i="33"/>
  <c r="K15" i="33"/>
  <c r="G13" i="32" l="1"/>
  <c r="I11" i="32" s="1"/>
  <c r="G10" i="34"/>
  <c r="G12" i="34" l="1"/>
  <c r="C6" i="46"/>
  <c r="E6" i="46" s="1"/>
  <c r="D113" i="21"/>
  <c r="D114" i="21" s="1"/>
  <c r="G14" i="32"/>
  <c r="E37" i="20" s="1"/>
  <c r="E38" i="20" s="1"/>
  <c r="N24" i="22"/>
  <c r="C7" i="35" l="1"/>
  <c r="K32" i="35" s="1"/>
  <c r="I15" i="34"/>
  <c r="A11" i="46" s="1"/>
  <c r="K25" i="38"/>
  <c r="K24" i="38"/>
  <c r="K26" i="38"/>
  <c r="K32" i="38"/>
  <c r="K21" i="38"/>
  <c r="K41" i="38"/>
  <c r="K28" i="38"/>
  <c r="K56" i="38"/>
  <c r="K27" i="38"/>
  <c r="K37" i="38"/>
  <c r="K12" i="38"/>
  <c r="K47" i="38"/>
  <c r="K40" i="38"/>
  <c r="K20" i="38"/>
  <c r="K44" i="38"/>
  <c r="K53" i="38"/>
  <c r="K36" i="38"/>
  <c r="K16" i="38"/>
  <c r="K17" i="38"/>
  <c r="K46" i="38"/>
  <c r="K29" i="38"/>
  <c r="K14" i="38"/>
  <c r="K34" i="38"/>
  <c r="K43" i="38"/>
  <c r="K48" i="38"/>
  <c r="K33" i="38"/>
  <c r="K19" i="38"/>
  <c r="K54" i="38"/>
  <c r="K22" i="38"/>
  <c r="K55" i="38"/>
  <c r="K18" i="38"/>
  <c r="K23" i="38"/>
  <c r="K52" i="38"/>
  <c r="K45" i="38"/>
  <c r="K49" i="38"/>
  <c r="K35" i="38"/>
  <c r="K15" i="38"/>
  <c r="K38" i="38"/>
  <c r="K30" i="38"/>
  <c r="K31" i="38"/>
  <c r="K13" i="38"/>
  <c r="K42" i="38"/>
  <c r="K50" i="38"/>
  <c r="K39" i="38"/>
  <c r="K51" i="38"/>
  <c r="K14" i="35" l="1"/>
  <c r="K47" i="35"/>
  <c r="K48" i="35"/>
  <c r="K34" i="35"/>
  <c r="K26" i="35"/>
  <c r="K20" i="35"/>
  <c r="K24" i="35"/>
  <c r="K22" i="35"/>
  <c r="K51" i="35"/>
  <c r="K41" i="35"/>
  <c r="K37" i="35"/>
  <c r="K45" i="35"/>
  <c r="K21" i="35"/>
  <c r="K53" i="35"/>
  <c r="K55" i="35"/>
  <c r="K23" i="35"/>
  <c r="K27" i="35"/>
  <c r="K35" i="35"/>
  <c r="K40" i="35"/>
  <c r="K33" i="35"/>
  <c r="K39" i="35"/>
  <c r="K19" i="35"/>
  <c r="K25" i="35"/>
  <c r="K49" i="35"/>
  <c r="K50" i="35"/>
  <c r="K12" i="35"/>
  <c r="K17" i="35"/>
  <c r="K46" i="35"/>
  <c r="K54" i="35"/>
  <c r="K44" i="35"/>
  <c r="K30" i="35"/>
  <c r="K31" i="35"/>
  <c r="K16" i="35"/>
  <c r="K38" i="35"/>
  <c r="K52" i="35"/>
  <c r="K29" i="35"/>
  <c r="K56" i="35"/>
  <c r="G13" i="34" s="1"/>
  <c r="I11" i="34" s="1"/>
  <c r="K36" i="35"/>
  <c r="K28" i="35"/>
  <c r="K13" i="35"/>
  <c r="K43" i="35"/>
  <c r="K42" i="35"/>
  <c r="K15" i="35"/>
  <c r="K18" i="35"/>
  <c r="G13" i="37"/>
  <c r="G14" i="37" s="1"/>
  <c r="E37" i="40" s="1"/>
  <c r="E38" i="40" s="1"/>
  <c r="D113" i="25" l="1"/>
  <c r="D114" i="25" s="1"/>
  <c r="I11" i="37"/>
  <c r="N24" i="26"/>
  <c r="G14" i="34"/>
  <c r="E37" i="24" s="1"/>
  <c r="E38" i="24" s="1"/>
  <c r="D113" i="39"/>
  <c r="D114" i="39" s="1"/>
  <c r="N24"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C4" authorId="0" shapeId="0" xr:uid="{9FB0A55B-3D48-4792-8245-305FB53F2733}">
      <text>
        <r>
          <rPr>
            <b/>
            <sz val="9"/>
            <color indexed="81"/>
            <rFont val="Tahoma"/>
            <family val="2"/>
          </rPr>
          <t>Click on field and a "down" arrow will become visible. Select your corporation number above to autopopulate data.</t>
        </r>
      </text>
    </comment>
    <comment ref="G11" authorId="0" shapeId="0" xr:uid="{D44D1428-8389-48EB-B946-E8DFE4365CFF}">
      <text>
        <r>
          <rPr>
            <b/>
            <sz val="9"/>
            <color indexed="81"/>
            <rFont val="Tahoma"/>
            <family val="2"/>
          </rPr>
          <t>Grant specialist will review this figure to ensure all grants are aligned.</t>
        </r>
      </text>
    </comment>
    <comment ref="G13" authorId="0" shapeId="0" xr:uid="{377BC8F6-F6A0-4694-AD81-84B8D8698AA4}">
      <text>
        <r>
          <rPr>
            <b/>
            <sz val="9"/>
            <color indexed="81"/>
            <rFont val="Tahoma"/>
            <family val="2"/>
          </rPr>
          <t>Cell will populate once the Equitable Share tab has been completed.</t>
        </r>
      </text>
    </comment>
    <comment ref="G15" authorId="0" shapeId="0" xr:uid="{DD643484-5FC5-4DF8-9F6B-63CF5C8FC96E}">
      <text>
        <r>
          <rPr>
            <b/>
            <sz val="9"/>
            <color indexed="81"/>
            <rFont val="Tahoma"/>
            <family val="2"/>
          </rPr>
          <t>If box turns red, the total administration is greater than the allowable 3%.</t>
        </r>
        <r>
          <rPr>
            <sz val="9"/>
            <color indexed="81"/>
            <rFont val="Tahoma"/>
            <family val="2"/>
          </rPr>
          <t xml:space="preserve">
</t>
        </r>
      </text>
    </comment>
    <comment ref="J16" authorId="0" shapeId="0" xr:uid="{F0685C98-5B52-420F-9908-DF3BAEC0C28D}">
      <text>
        <r>
          <rPr>
            <sz val="9"/>
            <color indexed="81"/>
            <rFont val="Tahoma"/>
            <family val="2"/>
          </rPr>
          <t xml:space="preserve">LEA monitoring note: If an LEA places funds solely in this area, the score on the risk assessment, which drives monitoring visits, may be negatively impacted.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6" authorId="0" shapeId="0" xr:uid="{88741EB7-1751-4C84-BBFC-927D90BCCBE2}">
      <text>
        <r>
          <rPr>
            <b/>
            <sz val="9"/>
            <color indexed="81"/>
            <rFont val="Tahoma"/>
            <family val="2"/>
          </rPr>
          <t>Please use the drop down menu to choose the nonpublic school.</t>
        </r>
      </text>
    </comment>
    <comment ref="C6" authorId="0" shapeId="0" xr:uid="{80CEB57F-DC80-476D-B094-A0F5A7ADD96F}">
      <text>
        <r>
          <rPr>
            <b/>
            <sz val="9"/>
            <color indexed="81"/>
            <rFont val="Tahoma"/>
            <family val="2"/>
          </rPr>
          <t>Choose the correct budget category from the pull-down menu.</t>
        </r>
      </text>
    </comment>
    <comment ref="D6" authorId="0" shapeId="0" xr:uid="{95B1F16D-3FF6-4740-A472-32C6BDC9C80F}">
      <text>
        <r>
          <rPr>
            <b/>
            <sz val="9"/>
            <color indexed="81"/>
            <rFont val="Tahoma"/>
            <family val="2"/>
          </rPr>
          <t>Enter activity cost dollar amount. The figure will automatically format correctly with dollar sign and commas.</t>
        </r>
      </text>
    </comment>
    <comment ref="H66" authorId="0" shapeId="0" xr:uid="{EF1BDF75-B119-4EB5-ABFC-D549D848525C}">
      <text>
        <r>
          <rPr>
            <b/>
            <sz val="9"/>
            <color indexed="81"/>
            <rFont val="Tahoma"/>
            <family val="2"/>
          </rPr>
          <t>Green: Budget equals equitable share.</t>
        </r>
        <r>
          <rPr>
            <sz val="9"/>
            <color indexed="81"/>
            <rFont val="Tahoma"/>
            <family val="2"/>
          </rPr>
          <t xml:space="preserve">
Red: Budget is greater than equitable share.
Yellow: Budget is less than equitable share.</t>
        </r>
      </text>
    </comment>
    <comment ref="D112" authorId="0" shapeId="0" xr:uid="{C5DEACD9-0E25-4EBE-93C4-9FB3220968FE}">
      <text>
        <r>
          <rPr>
            <b/>
            <sz val="9"/>
            <color indexed="81"/>
            <rFont val="Tahoma"/>
            <family val="2"/>
          </rPr>
          <t xml:space="preserve">If red, it means the budget and allocation do not match.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Marshall, Dwayne A</author>
    <author>Chiki, Frank</author>
  </authors>
  <commentList>
    <comment ref="B4" authorId="0" shapeId="0" xr:uid="{DF7F9E66-D959-4232-8F9C-8E1B22F64171}">
      <text>
        <r>
          <rPr>
            <sz val="9"/>
            <color indexed="81"/>
            <rFont val="Tahoma"/>
            <family val="2"/>
          </rPr>
          <t>1) Recruitment, Retention, Incentives, and Differentiated Pay
2) Professional Development
3) Class-size Reduction
Indirect Cost (if utilizing ICR)
Admin Fee related costs</t>
        </r>
      </text>
    </comment>
    <comment ref="B5" authorId="0" shapeId="0" xr:uid="{C45B1952-5D44-45C6-854D-C9BA0C488D70}">
      <text>
        <r>
          <rPr>
            <sz val="9"/>
            <color indexed="81"/>
            <rFont val="Tahoma"/>
            <family val="2"/>
          </rPr>
          <t>1) Recruitment, Retention, Incentives, and Differentiated Pay
2) Professional Development
3) Class-size Reduction
Indirect Cost (if utilizing ICR)
Admin Fee related costs</t>
        </r>
      </text>
    </comment>
    <comment ref="E6" authorId="1" shapeId="0" xr:uid="{A97D0238-5E3B-4C40-BB86-7CE8D180E605}">
      <text>
        <r>
          <rPr>
            <b/>
            <sz val="9"/>
            <color indexed="81"/>
            <rFont val="Tahoma"/>
            <family val="2"/>
          </rPr>
          <t>Enter activity cost dollar amount. The figure will automatically format correctly with dollar sign and commas.</t>
        </r>
      </text>
    </comment>
    <comment ref="B7" authorId="1" shapeId="0" xr:uid="{6DF4CF78-4913-42FE-880A-474D17D5AA0B}">
      <text>
        <r>
          <rPr>
            <b/>
            <sz val="9"/>
            <color indexed="81"/>
            <rFont val="Tahoma"/>
            <family val="2"/>
          </rPr>
          <t>Choose the correct category from the pull-down menu: 1, 2, 3, Indirect Cost, or Admin.</t>
        </r>
      </text>
    </comment>
    <comment ref="C7" authorId="1" shapeId="0" xr:uid="{76CCFC86-83DA-4489-AE28-2AAEF9BF2C91}">
      <text>
        <r>
          <rPr>
            <b/>
            <sz val="9"/>
            <color indexed="81"/>
            <rFont val="Tahoma"/>
            <family val="2"/>
          </rPr>
          <t>Choose the correct budget category from the pull-down menu.</t>
        </r>
      </text>
    </comment>
    <comment ref="E36" authorId="1" shapeId="0" xr:uid="{665EB1C7-E9CC-4C13-B7CA-690EDA099DE8}">
      <text>
        <r>
          <rPr>
            <b/>
            <sz val="9"/>
            <color indexed="81"/>
            <rFont val="Tahoma"/>
            <family val="2"/>
          </rPr>
          <t xml:space="preserve">If red, it means the budget and allocation do not match.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Audrey Carnahan</author>
    <author>Maggie Rowlands</author>
    <author>Chiki, Frank</author>
    <author>Marshall, Dwayne A</author>
  </authors>
  <commentList>
    <comment ref="G4" authorId="0" shapeId="0" xr:uid="{861838EB-8381-4C2D-BFAB-67B1A7E1CFFA}">
      <text>
        <r>
          <rPr>
            <sz val="9"/>
            <color indexed="81"/>
            <rFont val="Tahoma"/>
            <family val="2"/>
          </rPr>
          <t>Contracts and agreements, conference/workshop registrations, substitutes if provided by an outside contractor</t>
        </r>
      </text>
    </comment>
    <comment ref="I4" authorId="0" shapeId="0" xr:uid="{D1251FAF-3956-4826-9444-6DBE27901B72}">
      <text>
        <r>
          <rPr>
            <sz val="9"/>
            <color indexed="81"/>
            <rFont val="Tahoma"/>
            <family val="2"/>
          </rPr>
          <t>Student transportation, postage, printing, travel</t>
        </r>
      </text>
    </comment>
    <comment ref="J4" authorId="0" shapeId="0" xr:uid="{DAC0D811-6D4A-485D-847E-85290155B2BD}">
      <text>
        <r>
          <rPr>
            <sz val="9"/>
            <color indexed="81"/>
            <rFont val="Tahoma"/>
            <family val="2"/>
          </rPr>
          <t>Books, notebooks, paper, professional development materials/books</t>
        </r>
      </text>
    </comment>
    <comment ref="K4" authorId="0" shapeId="0" xr:uid="{0C8B58A8-57C8-4EED-B052-C8BBB3630148}">
      <text>
        <r>
          <rPr>
            <sz val="9"/>
            <color indexed="81"/>
            <rFont val="Tahoma"/>
            <family val="2"/>
          </rPr>
          <t>File cabinets, tables</t>
        </r>
      </text>
    </comment>
    <comment ref="L4" authorId="0" shapeId="0" xr:uid="{846D7B9C-28CD-40C7-B0EF-2AF6C19E2500}">
      <text>
        <r>
          <rPr>
            <sz val="9"/>
            <color indexed="81"/>
            <rFont val="Tahoma"/>
            <family val="2"/>
          </rPr>
          <t>Excess carryover, reimbursement of Choice Transportation for buses owned by the district, correction of errors</t>
        </r>
      </text>
    </comment>
    <comment ref="C5" authorId="0" shapeId="0" xr:uid="{511296F7-52F4-45A8-816F-50400101FC6A}">
      <text>
        <r>
          <rPr>
            <sz val="9"/>
            <color indexed="81"/>
            <rFont val="Tahoma"/>
            <family val="2"/>
          </rPr>
          <t>Title II teacher salaries, stipends, literacy coaches, substitutes if hired through the LEA</t>
        </r>
      </text>
    </comment>
    <comment ref="B6" authorId="0" shapeId="0" xr:uid="{453605C5-E971-4B29-9468-F4F521741B36}">
      <text>
        <r>
          <rPr>
            <sz val="9"/>
            <color indexed="81"/>
            <rFont val="Tahoma"/>
            <family val="2"/>
          </rPr>
          <t xml:space="preserve">Direct instruction for students
</t>
        </r>
      </text>
    </comment>
    <comment ref="B7" authorId="0" shapeId="0" xr:uid="{50DB45D1-D21E-4FFE-AE3C-44FB458C4A4C}">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xr:uid="{CF108A6E-441D-4716-B78D-AA53AE645EFC}">
      <text>
        <r>
          <rPr>
            <sz val="9"/>
            <color indexed="81"/>
            <rFont val="Tahoma"/>
            <family val="2"/>
          </rPr>
          <t>Professional Development</t>
        </r>
      </text>
    </comment>
    <comment ref="B9" authorId="0" shapeId="0" xr:uid="{0665C285-1C7D-47DD-AF58-59A3AC03CD29}">
      <text>
        <r>
          <rPr>
            <sz val="9"/>
            <color indexed="81"/>
            <rFont val="Tahoma"/>
            <family val="2"/>
          </rPr>
          <t xml:space="preserve">Administrative expenses
</t>
        </r>
      </text>
    </comment>
    <comment ref="B10" authorId="0" shapeId="0" xr:uid="{B5D45E26-DD5A-4A82-86F8-81A4CCA98E0B}">
      <text>
        <r>
          <rPr>
            <sz val="9"/>
            <color indexed="81"/>
            <rFont val="Tahoma"/>
            <family val="2"/>
          </rPr>
          <t>Return of excess carryover, charge backs</t>
        </r>
      </text>
    </comment>
    <comment ref="B11" authorId="0" shapeId="0" xr:uid="{0D29C5C6-0BEA-4FDF-92DE-FCD238F40B37}">
      <text>
        <r>
          <rPr>
            <sz val="9"/>
            <color indexed="81"/>
            <rFont val="Tahoma"/>
            <family val="2"/>
          </rPr>
          <t>Copy machines, printers</t>
        </r>
      </text>
    </comment>
    <comment ref="B12" authorId="1" shapeId="0" xr:uid="{CD8AE7E0-2229-4FE5-8A01-03A48C466A0F}">
      <text>
        <r>
          <rPr>
            <sz val="9"/>
            <color indexed="81"/>
            <rFont val="Tahoma"/>
            <family val="2"/>
          </rPr>
          <t xml:space="preserve">Student Transportation Expenses
</t>
        </r>
      </text>
    </comment>
    <comment ref="B13" authorId="0" shapeId="0" xr:uid="{36473D63-1CAF-4C85-9D4A-D01019A65E84}">
      <text>
        <r>
          <rPr>
            <sz val="9"/>
            <color indexed="81"/>
            <rFont val="Tahoma"/>
            <family val="2"/>
          </rPr>
          <t>Parental Involvement</t>
        </r>
      </text>
    </comment>
    <comment ref="M18" authorId="2" shapeId="0" xr:uid="{ECEAF541-413A-4AC8-AC90-87C5EDF3150B}">
      <text>
        <r>
          <rPr>
            <b/>
            <sz val="9"/>
            <color indexed="81"/>
            <rFont val="Tahoma"/>
            <family val="2"/>
          </rPr>
          <t>If box turns red, the Total for Nonpublic Schools total does not equal equitable share.</t>
        </r>
      </text>
    </comment>
    <comment ref="B19" authorId="3" shapeId="0" xr:uid="{BDAACB8F-590B-4F99-8DAB-625A9C6766EE}">
      <text>
        <r>
          <rPr>
            <sz val="9"/>
            <color indexed="81"/>
            <rFont val="Tahoma"/>
            <family val="2"/>
          </rPr>
          <t xml:space="preserve">Enter as simple decimal.  If ICR is 3.4%, enter "3.4"
</t>
        </r>
      </text>
    </comment>
    <comment ref="M19" authorId="3" shapeId="0" xr:uid="{D03F05E2-F165-473F-B915-2A2139476713}">
      <text>
        <r>
          <rPr>
            <b/>
            <sz val="9"/>
            <color indexed="81"/>
            <rFont val="Tahoma"/>
            <family val="2"/>
          </rPr>
          <t>Enter figure in parentheses, i.e. (23450.00).</t>
        </r>
        <r>
          <rPr>
            <sz val="9"/>
            <color indexed="81"/>
            <rFont val="Tahoma"/>
            <family val="2"/>
          </rPr>
          <t xml:space="preserve">
</t>
        </r>
      </text>
    </comment>
    <comment ref="M22" authorId="2" shapeId="0" xr:uid="{8293A3D6-4851-4BCB-A759-E7FA80CABE1F}">
      <text>
        <r>
          <rPr>
            <b/>
            <sz val="9"/>
            <color indexed="81"/>
            <rFont val="Tahoma"/>
            <family val="2"/>
          </rPr>
          <t>If box turns red, the total indirect cost used is greater than amount available.</t>
        </r>
      </text>
    </comment>
    <comment ref="M23" authorId="2" shapeId="0" xr:uid="{F644A037-D367-467F-8A09-D127197450B5}">
      <text>
        <r>
          <rPr>
            <b/>
            <sz val="9"/>
            <color indexed="81"/>
            <rFont val="Tahoma"/>
            <family val="2"/>
          </rPr>
          <t>If box turns red, the total administration is greater than the allowable 3%.</t>
        </r>
      </text>
    </comment>
    <comment ref="M24" authorId="2" shapeId="0" xr:uid="{7BA40126-FC57-4D19-908E-4DA7734B018A}">
      <text>
        <r>
          <rPr>
            <b/>
            <sz val="9"/>
            <color indexed="81"/>
            <rFont val="Tahoma"/>
            <family val="2"/>
          </rPr>
          <t>If green, all funds have been budgeted.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C14" authorId="0" shapeId="0" xr:uid="{1033AA2A-0EA6-4B0E-BD4F-035FC92525C5}">
      <text>
        <r>
          <rPr>
            <b/>
            <sz val="14"/>
            <color indexed="81"/>
            <rFont val="Calibri"/>
            <family val="2"/>
            <scheme val="minor"/>
          </rPr>
          <t>To insert a hard carriage return, hit Alt Return.</t>
        </r>
      </text>
    </comment>
    <comment ref="M18" authorId="0" shapeId="0" xr:uid="{88BFEC50-C0DF-4407-A1CA-E1B73881CAB8}">
      <text>
        <r>
          <rPr>
            <b/>
            <sz val="14"/>
            <color indexed="81"/>
            <rFont val="Calibri"/>
            <family val="2"/>
            <scheme val="minor"/>
          </rPr>
          <t>To insert a hard carriage return, hit Alt Return.</t>
        </r>
      </text>
    </comment>
    <comment ref="H19" authorId="0" shapeId="0" xr:uid="{669CFB03-A64D-45E9-B9BD-D20EE7B97AAD}">
      <text>
        <r>
          <rPr>
            <b/>
            <sz val="14"/>
            <color indexed="81"/>
            <rFont val="Calibri"/>
            <family val="2"/>
            <scheme val="minor"/>
          </rPr>
          <t>To insert a hard carriage return, hit Alt Return.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B4" authorId="0" shapeId="0" xr:uid="{B024A359-E91C-456B-8772-AADE259BF49B}">
      <text>
        <r>
          <rPr>
            <sz val="11"/>
            <color indexed="81"/>
            <rFont val="Calibri"/>
            <family val="2"/>
            <scheme val="minor"/>
          </rPr>
          <t>Date application submitted to IDOE or 7/1/21, whichever is later. Grants Specialist will complete this field.</t>
        </r>
      </text>
    </comment>
    <comment ref="B15" authorId="0" shapeId="0" xr:uid="{6C761626-2814-4F1A-9FAA-795AECB7962E}">
      <text>
        <r>
          <rPr>
            <b/>
            <sz val="9"/>
            <color indexed="81"/>
            <rFont val="Tahoma"/>
            <family val="2"/>
          </rPr>
          <t>If box shows as red, the amount is greater than 3% of allocation.</t>
        </r>
      </text>
    </comment>
    <comment ref="A29" authorId="0" shapeId="0" xr:uid="{64FDA4B2-502A-40A3-86F5-B31B9B4BD791}">
      <text>
        <r>
          <rPr>
            <b/>
            <sz val="9"/>
            <color indexed="81"/>
            <rFont val="Tahoma"/>
            <family val="2"/>
          </rPr>
          <t xml:space="preserve">Please note all reimbursements for transferred funds must be requested through the original grant.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G11" authorId="0" shapeId="0" xr:uid="{970E42A3-8325-4E18-81DE-7C2D7EBDC05A}">
      <text>
        <r>
          <rPr>
            <b/>
            <sz val="9"/>
            <color indexed="81"/>
            <rFont val="Tahoma"/>
            <family val="2"/>
          </rPr>
          <t>Grant specialist will review this figure to ensure all grants are aligned.</t>
        </r>
      </text>
    </comment>
    <comment ref="G13" authorId="0" shapeId="0" xr:uid="{31F50904-A471-45EA-8E43-6D72DEB93E45}">
      <text>
        <r>
          <rPr>
            <b/>
            <sz val="9"/>
            <color indexed="81"/>
            <rFont val="Tahoma"/>
            <family val="2"/>
          </rPr>
          <t>Cell will populate once the Equitable Share tab has been completed.</t>
        </r>
      </text>
    </comment>
    <comment ref="G15" authorId="0" shapeId="0" xr:uid="{A0D15415-BF43-4292-924C-3E4CDDA304DD}">
      <text>
        <r>
          <rPr>
            <b/>
            <sz val="9"/>
            <color indexed="81"/>
            <rFont val="Tahoma"/>
            <family val="2"/>
          </rPr>
          <t>If box turns red, the total administration is greater than the allowable 3%.</t>
        </r>
        <r>
          <rPr>
            <sz val="9"/>
            <color indexed="81"/>
            <rFont val="Tahoma"/>
            <family val="2"/>
          </rPr>
          <t xml:space="preserve">
</t>
        </r>
      </text>
    </comment>
    <comment ref="J16" authorId="0" shapeId="0" xr:uid="{EEF7629A-81F0-406B-992F-82CBA2320D58}">
      <text>
        <r>
          <rPr>
            <sz val="9"/>
            <color indexed="81"/>
            <rFont val="Tahoma"/>
            <family val="2"/>
          </rPr>
          <t xml:space="preserve">LEA monitoring note: If an LEA places funds solely in this area, the score on the risk assessment, which drives monitoring visits, may be negatively impacted.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11" authorId="0" shapeId="0" xr:uid="{B4AF5AC0-5364-40E2-A5B0-F1AEC62C040B}">
      <text>
        <r>
          <rPr>
            <b/>
            <sz val="9"/>
            <color indexed="81"/>
            <rFont val="Tahoma"/>
            <family val="2"/>
          </rPr>
          <t>Enter nonpublic school number in this format: A550 (letter should be a capital letter).</t>
        </r>
      </text>
    </comment>
    <comment ref="D11" authorId="0" shapeId="0" xr:uid="{94A9DAAC-A80D-4F82-A99E-EB418FEB29C4}">
      <text>
        <r>
          <rPr>
            <b/>
            <sz val="9"/>
            <color indexed="81"/>
            <rFont val="Tahoma"/>
            <family val="2"/>
          </rPr>
          <t>This column will be autofilled based upon nonpublic school number entered in Column A.</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6" authorId="0" shapeId="0" xr:uid="{981C875D-E03A-4BE4-BA23-0429DE458BDD}">
      <text>
        <r>
          <rPr>
            <b/>
            <sz val="9"/>
            <color indexed="81"/>
            <rFont val="Tahoma"/>
            <family val="2"/>
          </rPr>
          <t>Please use the drop down menu to choose the nonpublic school.</t>
        </r>
      </text>
    </comment>
    <comment ref="C6" authorId="0" shapeId="0" xr:uid="{7A76095B-76B3-4935-9DCF-7932295924C8}">
      <text>
        <r>
          <rPr>
            <b/>
            <sz val="9"/>
            <color indexed="81"/>
            <rFont val="Tahoma"/>
            <family val="2"/>
          </rPr>
          <t>Choose the correct budget category from the pull-down menu.</t>
        </r>
      </text>
    </comment>
    <comment ref="D6" authorId="0" shapeId="0" xr:uid="{41C5D493-2A78-425D-99D4-9A8A9F6BBBC8}">
      <text>
        <r>
          <rPr>
            <b/>
            <sz val="9"/>
            <color indexed="81"/>
            <rFont val="Tahoma"/>
            <family val="2"/>
          </rPr>
          <t>Enter activity cost dollar amount. The figure will automatically format correctly with dollar sign and commas.</t>
        </r>
      </text>
    </comment>
    <comment ref="H66" authorId="0" shapeId="0" xr:uid="{C83F81C4-9A4A-481D-AEA4-4708DE523B6A}">
      <text>
        <r>
          <rPr>
            <b/>
            <sz val="9"/>
            <color indexed="81"/>
            <rFont val="Tahoma"/>
            <family val="2"/>
          </rPr>
          <t>Green: Budget equals equitable share.</t>
        </r>
        <r>
          <rPr>
            <sz val="9"/>
            <color indexed="81"/>
            <rFont val="Tahoma"/>
            <family val="2"/>
          </rPr>
          <t xml:space="preserve">
Red: Budget is greater than equitable share.
Yellow: Budget is less than equitable share.</t>
        </r>
      </text>
    </comment>
    <comment ref="D112" authorId="0" shapeId="0" xr:uid="{606EA001-58AD-407F-98B5-B9B8AFAEE943}">
      <text>
        <r>
          <rPr>
            <b/>
            <sz val="9"/>
            <color indexed="81"/>
            <rFont val="Tahoma"/>
            <family val="2"/>
          </rPr>
          <t xml:space="preserve">If red, it means the budget and allocation do not match.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Marshall, Dwayne A</author>
    <author>Chiki, Frank</author>
  </authors>
  <commentList>
    <comment ref="B4" authorId="0" shapeId="0" xr:uid="{D0B8F07A-E2A2-4071-878D-611271BEC019}">
      <text>
        <r>
          <rPr>
            <sz val="9"/>
            <color indexed="81"/>
            <rFont val="Tahoma"/>
            <family val="2"/>
          </rPr>
          <t>1) Recruitment, Retention, Incentives, and Differentiated Pay
2) Professional Development
3) Class-size Reduction
Indirect Cost (if utilizing ICR)
Admin Fee related costs</t>
        </r>
      </text>
    </comment>
    <comment ref="B5" authorId="0" shapeId="0" xr:uid="{E3185D25-B2A4-4EF1-B5B3-A1FE304E4649}">
      <text>
        <r>
          <rPr>
            <sz val="9"/>
            <color indexed="81"/>
            <rFont val="Tahoma"/>
            <family val="2"/>
          </rPr>
          <t>1) Recruitment, Retention, Incentives, and Differentiated Pay
2) Professional Development
3) Class-size Reduction
Indirect Cost (if utilizing ICR)
Admin Fee related costs</t>
        </r>
      </text>
    </comment>
    <comment ref="E6" authorId="1" shapeId="0" xr:uid="{E4C21AE9-77A3-43D8-B16B-A6A4D0982283}">
      <text>
        <r>
          <rPr>
            <b/>
            <sz val="9"/>
            <color indexed="81"/>
            <rFont val="Tahoma"/>
            <family val="2"/>
          </rPr>
          <t>Enter activity cost dollar amount. The figure will automatically format correctly with dollar sign and commas.</t>
        </r>
      </text>
    </comment>
    <comment ref="B7" authorId="1" shapeId="0" xr:uid="{E99F7616-4E3F-44ED-A022-E5B1348B1219}">
      <text>
        <r>
          <rPr>
            <b/>
            <sz val="9"/>
            <color indexed="81"/>
            <rFont val="Tahoma"/>
            <family val="2"/>
          </rPr>
          <t>Choose the correct category from the pull-down menu: 1, 2, 3, Indirect Cost, or Admin.</t>
        </r>
      </text>
    </comment>
    <comment ref="C7" authorId="1" shapeId="0" xr:uid="{47C24A4D-718C-45AA-B38E-D5042C678AB2}">
      <text>
        <r>
          <rPr>
            <b/>
            <sz val="9"/>
            <color indexed="81"/>
            <rFont val="Tahoma"/>
            <family val="2"/>
          </rPr>
          <t>Choose the correct budget category from the pull-down menu.</t>
        </r>
      </text>
    </comment>
    <comment ref="E36" authorId="1" shapeId="0" xr:uid="{9CE29089-3A34-4E55-9679-C3D2D8669334}">
      <text>
        <r>
          <rPr>
            <b/>
            <sz val="9"/>
            <color indexed="81"/>
            <rFont val="Tahoma"/>
            <family val="2"/>
          </rPr>
          <t xml:space="preserve">If red, it means the budget and allocation do not match.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Audrey Carnahan</author>
    <author>Maggie Rowlands</author>
    <author>Chiki, Frank</author>
    <author>Marshall, Dwayne A</author>
  </authors>
  <commentList>
    <comment ref="G4" authorId="0" shapeId="0" xr:uid="{8DD6C560-4C07-4F43-93D4-5A687F18BFA5}">
      <text>
        <r>
          <rPr>
            <sz val="9"/>
            <color indexed="81"/>
            <rFont val="Tahoma"/>
            <family val="2"/>
          </rPr>
          <t>Contracts and agreements, conference/workshop registrations, substitutes if provided by an outside contractor</t>
        </r>
      </text>
    </comment>
    <comment ref="I4" authorId="0" shapeId="0" xr:uid="{F018CAA1-E975-4EA4-A990-03666A632CBC}">
      <text>
        <r>
          <rPr>
            <sz val="9"/>
            <color indexed="81"/>
            <rFont val="Tahoma"/>
            <family val="2"/>
          </rPr>
          <t>Student transportation, postage, printing, travel</t>
        </r>
      </text>
    </comment>
    <comment ref="J4" authorId="0" shapeId="0" xr:uid="{874B8B05-A40A-48A6-8694-1CB31E4D35E1}">
      <text>
        <r>
          <rPr>
            <sz val="9"/>
            <color indexed="81"/>
            <rFont val="Tahoma"/>
            <family val="2"/>
          </rPr>
          <t>Books, notebooks, paper, professional development materials/books</t>
        </r>
      </text>
    </comment>
    <comment ref="K4" authorId="0" shapeId="0" xr:uid="{D8C44D34-5FE2-4AA0-B311-2BE736EFADC6}">
      <text>
        <r>
          <rPr>
            <sz val="9"/>
            <color indexed="81"/>
            <rFont val="Tahoma"/>
            <family val="2"/>
          </rPr>
          <t>File cabinets, tables</t>
        </r>
      </text>
    </comment>
    <comment ref="L4" authorId="0" shapeId="0" xr:uid="{EE69C458-6EE0-41EC-8CDC-ABE752296576}">
      <text>
        <r>
          <rPr>
            <sz val="9"/>
            <color indexed="81"/>
            <rFont val="Tahoma"/>
            <family val="2"/>
          </rPr>
          <t>Excess carryover, reimbursement of Choice Transportation for buses owned by the district, correction of errors</t>
        </r>
      </text>
    </comment>
    <comment ref="C5" authorId="0" shapeId="0" xr:uid="{90607995-361B-47DB-90B0-52DC106DADD8}">
      <text>
        <r>
          <rPr>
            <sz val="9"/>
            <color indexed="81"/>
            <rFont val="Tahoma"/>
            <family val="2"/>
          </rPr>
          <t>Title II teacher salaries, stipends, literacy coaches, substitutes if hired through the LEA</t>
        </r>
      </text>
    </comment>
    <comment ref="B6" authorId="0" shapeId="0" xr:uid="{ED8467C8-E753-4F56-B9CE-2E6A343B73F8}">
      <text>
        <r>
          <rPr>
            <sz val="9"/>
            <color indexed="81"/>
            <rFont val="Tahoma"/>
            <family val="2"/>
          </rPr>
          <t xml:space="preserve">Direct instruction for students
</t>
        </r>
      </text>
    </comment>
    <comment ref="B7" authorId="0" shapeId="0" xr:uid="{1850640D-ADB1-40DE-8144-43D30176A924}">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xr:uid="{D4EE9F97-1465-42AE-B66C-D50AD06695DE}">
      <text>
        <r>
          <rPr>
            <sz val="9"/>
            <color indexed="81"/>
            <rFont val="Tahoma"/>
            <family val="2"/>
          </rPr>
          <t>Professional Development</t>
        </r>
      </text>
    </comment>
    <comment ref="B9" authorId="0" shapeId="0" xr:uid="{498BF741-2617-4CE0-A64E-F4212A67306C}">
      <text>
        <r>
          <rPr>
            <sz val="9"/>
            <color indexed="81"/>
            <rFont val="Tahoma"/>
            <family val="2"/>
          </rPr>
          <t xml:space="preserve">Administrative expenses
</t>
        </r>
      </text>
    </comment>
    <comment ref="B10" authorId="0" shapeId="0" xr:uid="{7D877736-0DE4-4259-852E-7BF8BE97F6F2}">
      <text>
        <r>
          <rPr>
            <sz val="9"/>
            <color indexed="81"/>
            <rFont val="Tahoma"/>
            <family val="2"/>
          </rPr>
          <t>Return of excess carryover, charge backs</t>
        </r>
      </text>
    </comment>
    <comment ref="B11" authorId="0" shapeId="0" xr:uid="{06B3D27B-D613-41E0-9617-FE6359A311BA}">
      <text>
        <r>
          <rPr>
            <sz val="9"/>
            <color indexed="81"/>
            <rFont val="Tahoma"/>
            <family val="2"/>
          </rPr>
          <t>Copy machines, printers</t>
        </r>
      </text>
    </comment>
    <comment ref="B12" authorId="1" shapeId="0" xr:uid="{CEEFC3CF-3667-4283-B930-068AAD073615}">
      <text>
        <r>
          <rPr>
            <sz val="9"/>
            <color indexed="81"/>
            <rFont val="Tahoma"/>
            <family val="2"/>
          </rPr>
          <t xml:space="preserve">Student Transportation Expenses
</t>
        </r>
      </text>
    </comment>
    <comment ref="B13" authorId="0" shapeId="0" xr:uid="{4C47B270-D9C3-412F-95E1-6A4E3CAF47E9}">
      <text>
        <r>
          <rPr>
            <sz val="9"/>
            <color indexed="81"/>
            <rFont val="Tahoma"/>
            <family val="2"/>
          </rPr>
          <t>Parental Involvement</t>
        </r>
      </text>
    </comment>
    <comment ref="M18" authorId="2" shapeId="0" xr:uid="{12C7202A-9BBD-4B43-9387-FB181539DDD5}">
      <text>
        <r>
          <rPr>
            <b/>
            <sz val="9"/>
            <color indexed="81"/>
            <rFont val="Tahoma"/>
            <family val="2"/>
          </rPr>
          <t>If box turns red, the Total for Nonpublic Schools total does not equal equitable share.</t>
        </r>
      </text>
    </comment>
    <comment ref="B19" authorId="3" shapeId="0" xr:uid="{7BF70EE4-A80E-4B3E-B525-A2F27CB77D6D}">
      <text>
        <r>
          <rPr>
            <sz val="9"/>
            <color indexed="81"/>
            <rFont val="Tahoma"/>
            <family val="2"/>
          </rPr>
          <t xml:space="preserve">Enter as simple decimal.  If ICR is 3.4%, enter "3.4"
</t>
        </r>
      </text>
    </comment>
    <comment ref="M19" authorId="3" shapeId="0" xr:uid="{5EA21923-015F-42BF-B4AA-1A5A94FAABE3}">
      <text>
        <r>
          <rPr>
            <b/>
            <sz val="9"/>
            <color indexed="81"/>
            <rFont val="Tahoma"/>
            <family val="2"/>
          </rPr>
          <t>Enter figure in parentheses, i.e. (23450.00).</t>
        </r>
        <r>
          <rPr>
            <sz val="9"/>
            <color indexed="81"/>
            <rFont val="Tahoma"/>
            <family val="2"/>
          </rPr>
          <t xml:space="preserve">
</t>
        </r>
      </text>
    </comment>
    <comment ref="M22" authorId="2" shapeId="0" xr:uid="{62E4B909-5EE0-445E-AE2B-87E9ECCC1E53}">
      <text>
        <r>
          <rPr>
            <b/>
            <sz val="9"/>
            <color indexed="81"/>
            <rFont val="Tahoma"/>
            <family val="2"/>
          </rPr>
          <t>If box turns red, the total indirect cost used is greater than amount available.</t>
        </r>
      </text>
    </comment>
    <comment ref="M23" authorId="2" shapeId="0" xr:uid="{36BD52CF-D182-4CDA-8D87-AE866FC1FF67}">
      <text>
        <r>
          <rPr>
            <b/>
            <sz val="9"/>
            <color indexed="81"/>
            <rFont val="Tahoma"/>
            <family val="2"/>
          </rPr>
          <t>If box turns red, the total administration is greater than the allowable 3%.</t>
        </r>
      </text>
    </comment>
    <comment ref="M24" authorId="2" shapeId="0" xr:uid="{8EC7E826-D9BD-45D6-91E7-89A2D4EFAB6F}">
      <text>
        <r>
          <rPr>
            <b/>
            <sz val="9"/>
            <color indexed="81"/>
            <rFont val="Tahoma"/>
            <family val="2"/>
          </rPr>
          <t>If green, all funds have been budgeted.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11" authorId="0" shapeId="0" xr:uid="{70138E13-A177-4DD8-8D61-1CD964119972}">
      <text>
        <r>
          <rPr>
            <b/>
            <sz val="9"/>
            <color indexed="81"/>
            <rFont val="Tahoma"/>
            <family val="2"/>
          </rPr>
          <t>Enter nonpublic school number in this format: A550 (letter should be a capital letter).</t>
        </r>
      </text>
    </comment>
    <comment ref="D11" authorId="0" shapeId="0" xr:uid="{D1154D7E-D47D-4070-BCBA-3FAB0059C862}">
      <text>
        <r>
          <rPr>
            <b/>
            <sz val="9"/>
            <color indexed="81"/>
            <rFont val="Tahoma"/>
            <family val="2"/>
          </rPr>
          <t>This column will be autofilled based upon nonpublic school number entered in Column A.</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C14" authorId="0" shapeId="0" xr:uid="{E33118AF-BC02-4C67-AECA-31FB048E6AA5}">
      <text>
        <r>
          <rPr>
            <b/>
            <sz val="14"/>
            <color indexed="81"/>
            <rFont val="Calibri"/>
            <family val="2"/>
            <scheme val="minor"/>
          </rPr>
          <t>To insert a hard carriage return, hit Alt Return.</t>
        </r>
      </text>
    </comment>
    <comment ref="M18" authorId="0" shapeId="0" xr:uid="{FCDC680B-61BF-4181-9A45-7C814EB7E16A}">
      <text>
        <r>
          <rPr>
            <b/>
            <sz val="14"/>
            <color indexed="81"/>
            <rFont val="Calibri"/>
            <family val="2"/>
            <scheme val="minor"/>
          </rPr>
          <t>To insert a hard carriage return, hit Alt Return.</t>
        </r>
      </text>
    </comment>
    <comment ref="H19" authorId="0" shapeId="0" xr:uid="{FB3BF6ED-7636-4528-8EA9-289E522E7F21}">
      <text>
        <r>
          <rPr>
            <b/>
            <sz val="14"/>
            <color indexed="81"/>
            <rFont val="Calibri"/>
            <family val="2"/>
            <scheme val="minor"/>
          </rPr>
          <t>To insert a hard carriage return, hit Alt Return.</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B4" authorId="0" shapeId="0" xr:uid="{F2E23B42-385E-46CA-A357-3F91E5862D85}">
      <text>
        <r>
          <rPr>
            <sz val="10"/>
            <color indexed="81"/>
            <rFont val="Calibri"/>
            <family val="2"/>
            <scheme val="minor"/>
          </rPr>
          <t>Date application submitted to IDOE or 7/1/21, whichever is later. Grants Specialist will complete this field.</t>
        </r>
      </text>
    </comment>
    <comment ref="B15" authorId="0" shapeId="0" xr:uid="{04752D37-0EFA-4C2E-913A-A4ED475C62AE}">
      <text>
        <r>
          <rPr>
            <b/>
            <sz val="9"/>
            <color indexed="81"/>
            <rFont val="Tahoma"/>
            <family val="2"/>
          </rPr>
          <t>If box shows as red, the amount is greater than 3% of allocation.</t>
        </r>
      </text>
    </comment>
    <comment ref="A29" authorId="0" shapeId="0" xr:uid="{ABF28294-1753-425F-996E-3DB800DDCB59}">
      <text>
        <r>
          <rPr>
            <b/>
            <sz val="9"/>
            <color indexed="81"/>
            <rFont val="Tahoma"/>
            <family val="2"/>
          </rPr>
          <t xml:space="preserve">Please note all reimbursements for transferred funds must be requested through the original grant.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G11" authorId="0" shapeId="0" xr:uid="{9828752E-EA69-4719-BB31-1F3A07C6A27C}">
      <text>
        <r>
          <rPr>
            <b/>
            <sz val="9"/>
            <color indexed="81"/>
            <rFont val="Tahoma"/>
            <family val="2"/>
          </rPr>
          <t>Grant specialist will review this figure to ensure all grants are aligned.</t>
        </r>
      </text>
    </comment>
    <comment ref="G13" authorId="0" shapeId="0" xr:uid="{77FB8FD8-6195-417D-B7AC-390835236713}">
      <text>
        <r>
          <rPr>
            <b/>
            <sz val="9"/>
            <color indexed="81"/>
            <rFont val="Tahoma"/>
            <family val="2"/>
          </rPr>
          <t>Cell will populate once the Equitable Share tab has been completed.</t>
        </r>
      </text>
    </comment>
    <comment ref="G15" authorId="0" shapeId="0" xr:uid="{69546311-5BF8-44DD-8312-E78976C848FB}">
      <text>
        <r>
          <rPr>
            <b/>
            <sz val="9"/>
            <color indexed="81"/>
            <rFont val="Tahoma"/>
            <family val="2"/>
          </rPr>
          <t>If box turns red, the total administration is greater than the allowable 3%.</t>
        </r>
        <r>
          <rPr>
            <sz val="9"/>
            <color indexed="81"/>
            <rFont val="Tahoma"/>
            <family val="2"/>
          </rPr>
          <t xml:space="preserve">
</t>
        </r>
      </text>
    </comment>
    <comment ref="J16" authorId="0" shapeId="0" xr:uid="{5903032E-79F8-455A-A5AF-D7772E2FB12E}">
      <text>
        <r>
          <rPr>
            <sz val="9"/>
            <color indexed="81"/>
            <rFont val="Tahoma"/>
            <family val="2"/>
          </rPr>
          <t xml:space="preserve">LEA monitoring note: If an LEA places funds solely in this area, the score on the risk assessment, which drives monitoring visits, may be negatively impacted.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11" authorId="0" shapeId="0" xr:uid="{C52CDCE3-83D1-4C23-A057-D5FC75622D2F}">
      <text>
        <r>
          <rPr>
            <b/>
            <sz val="9"/>
            <color indexed="81"/>
            <rFont val="Tahoma"/>
            <family val="2"/>
          </rPr>
          <t>Enter nonpublic school number in this format: A550 (letter should be a capital letter).</t>
        </r>
      </text>
    </comment>
    <comment ref="D11" authorId="0" shapeId="0" xr:uid="{3DA302EA-BD10-4596-ABFE-3CF46ED86EBC}">
      <text>
        <r>
          <rPr>
            <b/>
            <sz val="9"/>
            <color indexed="81"/>
            <rFont val="Tahoma"/>
            <family val="2"/>
          </rPr>
          <t>This column will be autofilled based upon nonpublic school number entered in Column A.</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6" authorId="0" shapeId="0" xr:uid="{2A8A6B02-203C-4E96-BBCD-25A0DD50A129}">
      <text>
        <r>
          <rPr>
            <b/>
            <sz val="9"/>
            <color indexed="81"/>
            <rFont val="Tahoma"/>
            <family val="2"/>
          </rPr>
          <t>Please use the drop down menu to choose the nonpublic school.</t>
        </r>
      </text>
    </comment>
    <comment ref="D6" authorId="0" shapeId="0" xr:uid="{37EECD45-0065-4F3F-A8C3-63905BCA7EB6}">
      <text>
        <r>
          <rPr>
            <b/>
            <sz val="9"/>
            <color indexed="81"/>
            <rFont val="Tahoma"/>
            <family val="2"/>
          </rPr>
          <t>Enter activity cost dollar amount. The figure will automatically format correctly with dollar sign and commas.</t>
        </r>
      </text>
    </comment>
    <comment ref="H66" authorId="0" shapeId="0" xr:uid="{570E494B-1FE2-4F99-9EB6-1096C62B9021}">
      <text>
        <r>
          <rPr>
            <b/>
            <sz val="9"/>
            <color indexed="81"/>
            <rFont val="Tahoma"/>
            <family val="2"/>
          </rPr>
          <t>Green: Budget equals equitable share.</t>
        </r>
        <r>
          <rPr>
            <sz val="9"/>
            <color indexed="81"/>
            <rFont val="Tahoma"/>
            <family val="2"/>
          </rPr>
          <t xml:space="preserve">
Red: Budget is greater than equitable share.
Yellow: Budget is less than equitable share.</t>
        </r>
      </text>
    </comment>
    <comment ref="D112" authorId="0" shapeId="0" xr:uid="{A12DDB8E-2E88-466D-9AC7-E82D037B4D08}">
      <text>
        <r>
          <rPr>
            <b/>
            <sz val="9"/>
            <color indexed="81"/>
            <rFont val="Tahoma"/>
            <family val="2"/>
          </rPr>
          <t xml:space="preserve">If red, it means the budget and allocation do not match.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Marshall, Dwayne A</author>
    <author>Chiki, Frank</author>
  </authors>
  <commentList>
    <comment ref="B4" authorId="0" shapeId="0" xr:uid="{2A8E12F0-2870-4DFA-8AC4-49CA962955FD}">
      <text>
        <r>
          <rPr>
            <sz val="9"/>
            <color indexed="81"/>
            <rFont val="Tahoma"/>
            <family val="2"/>
          </rPr>
          <t>1) Recruitment, Retention, Incentives, and Differentiated Pay
2) Professional Development
3) Class-size Reduction
Indirect Cost (if utilizing ICR)
Admin Fee related costs</t>
        </r>
      </text>
    </comment>
    <comment ref="B5" authorId="0" shapeId="0" xr:uid="{BEADE98E-7A53-4CA0-8A31-003E689895C3}">
      <text>
        <r>
          <rPr>
            <sz val="9"/>
            <color indexed="81"/>
            <rFont val="Tahoma"/>
            <family val="2"/>
          </rPr>
          <t>1) Recruitment, Retention, Incentives, and Differentiated Pay
2) Professional Development
3) Class-size Reduction
Indirect Cost (if utilizing ICR)
Admin Fee related costs</t>
        </r>
      </text>
    </comment>
    <comment ref="E6" authorId="1" shapeId="0" xr:uid="{DF4FA496-5F20-4BE8-8F91-5E758FEEE9EA}">
      <text>
        <r>
          <rPr>
            <b/>
            <sz val="9"/>
            <color indexed="81"/>
            <rFont val="Tahoma"/>
            <family val="2"/>
          </rPr>
          <t>Enter activity cost dollar amount. The figure will automatically format correctly with dollar sign and commas.</t>
        </r>
      </text>
    </comment>
    <comment ref="B7" authorId="1" shapeId="0" xr:uid="{E45917E8-0711-4483-9BD0-C4EBAC0ECAD8}">
      <text>
        <r>
          <rPr>
            <b/>
            <sz val="9"/>
            <color indexed="81"/>
            <rFont val="Tahoma"/>
            <family val="2"/>
          </rPr>
          <t>Choose the correct category from the pull-down menu: 1, 2, 3, Indirect Cost, or Admin.</t>
        </r>
      </text>
    </comment>
    <comment ref="C7" authorId="1" shapeId="0" xr:uid="{38D730B7-3449-46DB-9E13-F1A4BBCD907D}">
      <text>
        <r>
          <rPr>
            <b/>
            <sz val="9"/>
            <color indexed="81"/>
            <rFont val="Tahoma"/>
            <family val="2"/>
          </rPr>
          <t>Choose the correct budget category from the pull-down menu.</t>
        </r>
      </text>
    </comment>
    <comment ref="E36" authorId="1" shapeId="0" xr:uid="{A4446770-6CAA-4331-A5BE-47D4ED181184}">
      <text>
        <r>
          <rPr>
            <b/>
            <sz val="9"/>
            <color indexed="81"/>
            <rFont val="Tahoma"/>
            <family val="2"/>
          </rPr>
          <t xml:space="preserve">If red, it means the budget and allocation do not match.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Audrey Carnahan</author>
    <author>Maggie Rowlands</author>
    <author>Chiki, Frank</author>
    <author>Marshall, Dwayne A</author>
  </authors>
  <commentList>
    <comment ref="G4" authorId="0" shapeId="0" xr:uid="{1B30095C-6ACD-4774-A530-8A088022B7F6}">
      <text>
        <r>
          <rPr>
            <sz val="9"/>
            <color indexed="81"/>
            <rFont val="Tahoma"/>
            <family val="2"/>
          </rPr>
          <t>Contracts and agreements, conference/workshop registrations, substitutes if provided by an outside contractor</t>
        </r>
      </text>
    </comment>
    <comment ref="I4" authorId="0" shapeId="0" xr:uid="{2BF5DB3C-8382-408E-B1E7-DDF20984AA44}">
      <text>
        <r>
          <rPr>
            <sz val="9"/>
            <color indexed="81"/>
            <rFont val="Tahoma"/>
            <family val="2"/>
          </rPr>
          <t>Student transportation, postage, printing, travel</t>
        </r>
      </text>
    </comment>
    <comment ref="J4" authorId="0" shapeId="0" xr:uid="{897474AF-0E16-4D16-9760-6F4320AE2A25}">
      <text>
        <r>
          <rPr>
            <sz val="9"/>
            <color indexed="81"/>
            <rFont val="Tahoma"/>
            <family val="2"/>
          </rPr>
          <t>Books, notebooks, paper, professional development materials/books</t>
        </r>
      </text>
    </comment>
    <comment ref="K4" authorId="0" shapeId="0" xr:uid="{C542DFD9-2242-4FD4-B25B-DBD1E473FAB8}">
      <text>
        <r>
          <rPr>
            <sz val="9"/>
            <color indexed="81"/>
            <rFont val="Tahoma"/>
            <family val="2"/>
          </rPr>
          <t>File cabinets, tables</t>
        </r>
      </text>
    </comment>
    <comment ref="L4" authorId="0" shapeId="0" xr:uid="{7B70CE9F-AA01-422D-B0EC-27391FF9C3BA}">
      <text>
        <r>
          <rPr>
            <sz val="9"/>
            <color indexed="81"/>
            <rFont val="Tahoma"/>
            <family val="2"/>
          </rPr>
          <t>Excess carryover, reimbursement of Choice Transportation for buses owned by the district, correction of errors</t>
        </r>
      </text>
    </comment>
    <comment ref="C5" authorId="0" shapeId="0" xr:uid="{60C1A99F-456D-4574-9B91-D72283201088}">
      <text>
        <r>
          <rPr>
            <sz val="9"/>
            <color indexed="81"/>
            <rFont val="Tahoma"/>
            <family val="2"/>
          </rPr>
          <t>Title II teacher salaries, stipends, literacy coaches, substitutes if hired through the LEA</t>
        </r>
      </text>
    </comment>
    <comment ref="B6" authorId="0" shapeId="0" xr:uid="{B5417D70-0D5B-498D-A277-0C972257DDD0}">
      <text>
        <r>
          <rPr>
            <sz val="9"/>
            <color indexed="81"/>
            <rFont val="Tahoma"/>
            <family val="2"/>
          </rPr>
          <t xml:space="preserve">Direct instruction for students
</t>
        </r>
      </text>
    </comment>
    <comment ref="B7" authorId="0" shapeId="0" xr:uid="{B761B117-1C30-4C23-B8FB-82E4AD0403CF}">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xr:uid="{17E9DD67-2D44-457D-94B9-3D796C6BC3FB}">
      <text>
        <r>
          <rPr>
            <sz val="9"/>
            <color indexed="81"/>
            <rFont val="Tahoma"/>
            <family val="2"/>
          </rPr>
          <t>Professional Development</t>
        </r>
      </text>
    </comment>
    <comment ref="B9" authorId="0" shapeId="0" xr:uid="{62449A38-75C6-4644-9E41-2035BEA79C69}">
      <text>
        <r>
          <rPr>
            <sz val="9"/>
            <color indexed="81"/>
            <rFont val="Tahoma"/>
            <family val="2"/>
          </rPr>
          <t xml:space="preserve">Administrative expenses
</t>
        </r>
      </text>
    </comment>
    <comment ref="B10" authorId="0" shapeId="0" xr:uid="{B7E0F5A1-7047-4EA1-A93D-7720B03EA1F5}">
      <text>
        <r>
          <rPr>
            <sz val="9"/>
            <color indexed="81"/>
            <rFont val="Tahoma"/>
            <family val="2"/>
          </rPr>
          <t>Return of excess carryover, charge backs</t>
        </r>
      </text>
    </comment>
    <comment ref="B11" authorId="0" shapeId="0" xr:uid="{950FF685-DFF8-4F3A-8622-D1A8ACB35631}">
      <text>
        <r>
          <rPr>
            <sz val="9"/>
            <color indexed="81"/>
            <rFont val="Tahoma"/>
            <family val="2"/>
          </rPr>
          <t>Copy machines, printers</t>
        </r>
      </text>
    </comment>
    <comment ref="B12" authorId="1" shapeId="0" xr:uid="{E39B912D-CC1F-422E-9A8C-26F3513DD464}">
      <text>
        <r>
          <rPr>
            <sz val="9"/>
            <color indexed="81"/>
            <rFont val="Tahoma"/>
            <family val="2"/>
          </rPr>
          <t xml:space="preserve">Student Transportation Expenses
</t>
        </r>
      </text>
    </comment>
    <comment ref="B13" authorId="0" shapeId="0" xr:uid="{D71AC6D6-F904-4AC0-A72A-93C097B550E2}">
      <text>
        <r>
          <rPr>
            <sz val="9"/>
            <color indexed="81"/>
            <rFont val="Tahoma"/>
            <family val="2"/>
          </rPr>
          <t>Parental Involvement</t>
        </r>
      </text>
    </comment>
    <comment ref="M14" authorId="2" shapeId="0" xr:uid="{A322E7FF-6A5F-4C3A-82D6-DED97A5EE226}">
      <text>
        <r>
          <rPr>
            <b/>
            <sz val="9"/>
            <color indexed="81"/>
            <rFont val="Tahoma"/>
            <family val="2"/>
          </rPr>
          <t>If cell is red, it does not equal the amount transferred to other Federal grants.</t>
        </r>
      </text>
    </comment>
    <comment ref="M18" authorId="2" shapeId="0" xr:uid="{9A2D8C6E-6DF0-4C04-BF12-7087451FB973}">
      <text>
        <r>
          <rPr>
            <b/>
            <sz val="9"/>
            <color indexed="81"/>
            <rFont val="Tahoma"/>
            <family val="2"/>
          </rPr>
          <t>If box turns red, the Total for Nonpublic Schools total does not equal equitable share.</t>
        </r>
      </text>
    </comment>
    <comment ref="B19" authorId="3" shapeId="0" xr:uid="{A8AEBDF8-86F9-457D-90FA-0E8999F44F49}">
      <text>
        <r>
          <rPr>
            <sz val="9"/>
            <color indexed="81"/>
            <rFont val="Tahoma"/>
            <family val="2"/>
          </rPr>
          <t xml:space="preserve">Enter as simple decimal.  If ICR is 3.4%, enter "3.4"
</t>
        </r>
      </text>
    </comment>
    <comment ref="M19" authorId="3" shapeId="0" xr:uid="{B23957C8-96BD-45AC-8512-23011ABCFC7E}">
      <text>
        <r>
          <rPr>
            <b/>
            <sz val="9"/>
            <color indexed="81"/>
            <rFont val="Tahoma"/>
            <family val="2"/>
          </rPr>
          <t>Enter figure in parentheses, i.e. (23450.00).</t>
        </r>
        <r>
          <rPr>
            <sz val="9"/>
            <color indexed="81"/>
            <rFont val="Tahoma"/>
            <family val="2"/>
          </rPr>
          <t xml:space="preserve">
</t>
        </r>
      </text>
    </comment>
    <comment ref="M22" authorId="2" shapeId="0" xr:uid="{B06946B1-CC34-4BBF-B365-8590020C46D3}">
      <text>
        <r>
          <rPr>
            <b/>
            <sz val="9"/>
            <color indexed="81"/>
            <rFont val="Tahoma"/>
            <family val="2"/>
          </rPr>
          <t>If box turns red, the total indirect cost used is greater than amount available.</t>
        </r>
      </text>
    </comment>
    <comment ref="M23" authorId="2" shapeId="0" xr:uid="{B7A8FA84-BD45-46E8-AAB1-41BC55BAACD8}">
      <text>
        <r>
          <rPr>
            <b/>
            <sz val="9"/>
            <color indexed="81"/>
            <rFont val="Tahoma"/>
            <family val="2"/>
          </rPr>
          <t>If box turns red, the total administration is greater than the allowable 3%.</t>
        </r>
      </text>
    </comment>
    <comment ref="M24" authorId="2" shapeId="0" xr:uid="{1CCA4488-A408-4C0F-B042-CE58741AF399}">
      <text>
        <r>
          <rPr>
            <b/>
            <sz val="9"/>
            <color indexed="81"/>
            <rFont val="Tahoma"/>
            <family val="2"/>
          </rPr>
          <t>If green, all funds have been budgeted.</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C14" authorId="0" shapeId="0" xr:uid="{6E1DFB81-31C8-4438-8FCA-DF0E3DDBB171}">
      <text>
        <r>
          <rPr>
            <b/>
            <sz val="14"/>
            <color indexed="81"/>
            <rFont val="Calibri"/>
            <family val="2"/>
            <scheme val="minor"/>
          </rPr>
          <t>To insert a hard carriage return, hit Alt Return.</t>
        </r>
      </text>
    </comment>
    <comment ref="M18" authorId="0" shapeId="0" xr:uid="{578E9937-C7D0-4CF6-B314-83E5E7B8C8ED}">
      <text>
        <r>
          <rPr>
            <b/>
            <sz val="14"/>
            <color indexed="81"/>
            <rFont val="Calibri"/>
            <family val="2"/>
            <scheme val="minor"/>
          </rPr>
          <t>To insert a hard carriage return, hit Alt Return.</t>
        </r>
      </text>
    </comment>
    <comment ref="H19" authorId="0" shapeId="0" xr:uid="{BB7B4F59-1DFE-4E10-9AAC-22529BAA5CF1}">
      <text>
        <r>
          <rPr>
            <b/>
            <sz val="14"/>
            <color indexed="81"/>
            <rFont val="Calibri"/>
            <family val="2"/>
            <scheme val="minor"/>
          </rPr>
          <t>To insert a hard carriage return, hit Alt Return.</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B4" authorId="0" shapeId="0" xr:uid="{D3447D9C-5180-41AF-96C2-C7F2E8BF756F}">
      <text>
        <r>
          <rPr>
            <sz val="11"/>
            <color indexed="81"/>
            <rFont val="Calibri"/>
            <family val="2"/>
            <scheme val="minor"/>
          </rPr>
          <t>Date application submitted to IDOE or 7/1/21, whichever is later. Grants Specialist will complete this field.</t>
        </r>
      </text>
    </comment>
    <comment ref="B15" authorId="0" shapeId="0" xr:uid="{4DC050BC-9489-4BC8-AB8F-D5B99C97C146}">
      <text>
        <r>
          <rPr>
            <b/>
            <sz val="9"/>
            <color indexed="81"/>
            <rFont val="Tahoma"/>
            <family val="2"/>
          </rPr>
          <t>If box shows as red, the amount is greater than 3% of allocation.</t>
        </r>
      </text>
    </comment>
    <comment ref="A29" authorId="0" shapeId="0" xr:uid="{8C95AAE9-32BA-483D-90E9-9FD00E9B732C}">
      <text>
        <r>
          <rPr>
            <b/>
            <sz val="9"/>
            <color indexed="81"/>
            <rFont val="Tahoma"/>
            <family val="2"/>
          </rPr>
          <t xml:space="preserve">Please note all reimbursements for transferred funds must be requested through the original grant.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G11" authorId="0" shapeId="0" xr:uid="{90BC180E-08CA-41B8-8D71-2E518C2749EE}">
      <text>
        <r>
          <rPr>
            <b/>
            <sz val="9"/>
            <color indexed="81"/>
            <rFont val="Tahoma"/>
            <family val="2"/>
          </rPr>
          <t>Grant specialist will review this figure to ensure all grants are aligned.</t>
        </r>
      </text>
    </comment>
    <comment ref="G13" authorId="0" shapeId="0" xr:uid="{A842F06A-A00A-4FA1-B99E-BC92CACA247E}">
      <text>
        <r>
          <rPr>
            <b/>
            <sz val="9"/>
            <color indexed="81"/>
            <rFont val="Tahoma"/>
            <family val="2"/>
          </rPr>
          <t>Cell will populate once the Equitable Share tab has been completed.</t>
        </r>
      </text>
    </comment>
    <comment ref="G15" authorId="0" shapeId="0" xr:uid="{67EFFBD5-5C55-49F5-BE64-B5E886781AE8}">
      <text>
        <r>
          <rPr>
            <b/>
            <sz val="9"/>
            <color indexed="81"/>
            <rFont val="Tahoma"/>
            <family val="2"/>
          </rPr>
          <t>If box turns red, the total administration is greater than the allowable 3%.</t>
        </r>
        <r>
          <rPr>
            <sz val="9"/>
            <color indexed="81"/>
            <rFont val="Tahoma"/>
            <family val="2"/>
          </rPr>
          <t xml:space="preserve">
</t>
        </r>
      </text>
    </comment>
    <comment ref="J16" authorId="0" shapeId="0" xr:uid="{EEDBA59A-9018-4B38-8AB9-32FDB4C48151}">
      <text>
        <r>
          <rPr>
            <sz val="9"/>
            <color indexed="81"/>
            <rFont val="Tahoma"/>
            <family val="2"/>
          </rPr>
          <t xml:space="preserve">LEA monitoring note: If an LEA places funds solely in this area, the score on the risk assessment, which drives monitoring visits, may be negatively impacted.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6" authorId="0" shapeId="0" xr:uid="{F3ABFBF9-B444-4EF6-8BFD-D0B6B6A220F3}">
      <text>
        <r>
          <rPr>
            <b/>
            <sz val="9"/>
            <color indexed="81"/>
            <rFont val="Tahoma"/>
            <family val="2"/>
          </rPr>
          <t>Please use the drop down menu to choose the nonpublic school.</t>
        </r>
      </text>
    </comment>
    <comment ref="C6" authorId="0" shapeId="0" xr:uid="{C76C3777-3DB1-46F0-A42B-8D7FFF838377}">
      <text>
        <r>
          <rPr>
            <b/>
            <sz val="9"/>
            <color indexed="81"/>
            <rFont val="Tahoma"/>
            <family val="2"/>
          </rPr>
          <t>Choose the correct budget category from the pull-down menu.</t>
        </r>
      </text>
    </comment>
    <comment ref="D6" authorId="0" shapeId="0" xr:uid="{CF4668D1-D501-4D21-AAAA-824DE518D054}">
      <text>
        <r>
          <rPr>
            <b/>
            <sz val="9"/>
            <color indexed="81"/>
            <rFont val="Tahoma"/>
            <family val="2"/>
          </rPr>
          <t>Enter activity cost dollar amount. The figure will automatically format correctly with dollar sign and commas.</t>
        </r>
      </text>
    </comment>
    <comment ref="H66" authorId="0" shapeId="0" xr:uid="{8934DD78-AC55-4F9F-80A1-611AD6E9A374}">
      <text>
        <r>
          <rPr>
            <b/>
            <sz val="9"/>
            <color indexed="81"/>
            <rFont val="Tahoma"/>
            <family val="2"/>
          </rPr>
          <t>Green: Budget equals equitable share.</t>
        </r>
        <r>
          <rPr>
            <sz val="9"/>
            <color indexed="81"/>
            <rFont val="Tahoma"/>
            <family val="2"/>
          </rPr>
          <t xml:space="preserve">
Red: Budget is greater than equitable share.
Yellow: Budget is less than equitable share.</t>
        </r>
      </text>
    </comment>
    <comment ref="D112" authorId="0" shapeId="0" xr:uid="{579DA68B-6256-433F-90CF-89C2DE8E557D}">
      <text>
        <r>
          <rPr>
            <b/>
            <sz val="9"/>
            <color indexed="81"/>
            <rFont val="Tahoma"/>
            <family val="2"/>
          </rPr>
          <t xml:space="preserve">If red, it means the budget and allocation do not match.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11" authorId="0" shapeId="0" xr:uid="{CBF2F7EC-321E-4153-9ADF-93A58E647263}">
      <text>
        <r>
          <rPr>
            <b/>
            <sz val="9"/>
            <color indexed="81"/>
            <rFont val="Tahoma"/>
            <family val="2"/>
          </rPr>
          <t>Enter nonpublic school number in this format: A550 (letter should be a capital letter).</t>
        </r>
      </text>
    </comment>
    <comment ref="D11" authorId="0" shapeId="0" xr:uid="{ACC86FA0-615C-425B-B8B8-2FD1A5B50210}">
      <text>
        <r>
          <rPr>
            <b/>
            <sz val="9"/>
            <color indexed="81"/>
            <rFont val="Tahoma"/>
            <family val="2"/>
          </rPr>
          <t>This column will be autofilled based upon nonpublic school number entered in Column A.</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6" authorId="0" shapeId="0" xr:uid="{905A2DB4-4D89-4303-B69A-C9F133094EE3}">
      <text>
        <r>
          <rPr>
            <b/>
            <sz val="9"/>
            <color indexed="81"/>
            <rFont val="Tahoma"/>
            <family val="2"/>
          </rPr>
          <t>Please use the drop down menu to choose the nonpublic school.</t>
        </r>
      </text>
    </comment>
    <comment ref="D6" authorId="0" shapeId="0" xr:uid="{FC4CB087-D9FE-4B39-ADF6-D4ADA2AAEF13}">
      <text>
        <r>
          <rPr>
            <b/>
            <sz val="9"/>
            <color indexed="81"/>
            <rFont val="Tahoma"/>
            <family val="2"/>
          </rPr>
          <t>Enter activity cost dollar amount. The figure will automatically format correctly with dollar sign and commas.</t>
        </r>
      </text>
    </comment>
    <comment ref="H66" authorId="0" shapeId="0" xr:uid="{5DD23171-D367-4BAD-A3CC-11C02FFC14D9}">
      <text>
        <r>
          <rPr>
            <b/>
            <sz val="9"/>
            <color indexed="81"/>
            <rFont val="Tahoma"/>
            <family val="2"/>
          </rPr>
          <t>Green: Budget equals equitable share.</t>
        </r>
        <r>
          <rPr>
            <sz val="9"/>
            <color indexed="81"/>
            <rFont val="Tahoma"/>
            <family val="2"/>
          </rPr>
          <t xml:space="preserve">
Red: Budget is greater than equitable share.
Yellow: Budget is less than equitable share.</t>
        </r>
      </text>
    </comment>
    <comment ref="D112" authorId="0" shapeId="0" xr:uid="{C5262F10-9A3B-43CE-94CC-175CB6B5856E}">
      <text>
        <r>
          <rPr>
            <b/>
            <sz val="9"/>
            <color indexed="81"/>
            <rFont val="Tahoma"/>
            <family val="2"/>
          </rPr>
          <t xml:space="preserve">If red, it means the budget and allocation do not match. </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Marshall, Dwayne A</author>
    <author>Chiki, Frank</author>
  </authors>
  <commentList>
    <comment ref="B4" authorId="0" shapeId="0" xr:uid="{D5C5C1E2-A05C-476B-B01C-AF51ACCB8AD9}">
      <text>
        <r>
          <rPr>
            <sz val="9"/>
            <color indexed="81"/>
            <rFont val="Tahoma"/>
            <family val="2"/>
          </rPr>
          <t>1) Recruitment, Retention, Incentives, and Differentiated Pay
2) Professional Development
3) Class-size Reduction
Indirect Cost (if utilizing ICR)
Admin Fee related costs</t>
        </r>
      </text>
    </comment>
    <comment ref="B5" authorId="0" shapeId="0" xr:uid="{1DE38BAD-2A4F-45DC-9848-337D39E12C6D}">
      <text>
        <r>
          <rPr>
            <sz val="9"/>
            <color indexed="81"/>
            <rFont val="Tahoma"/>
            <family val="2"/>
          </rPr>
          <t>1) Recruitment, Retention, Incentives, and Differentiated Pay
2) Professional Development
3) Class-size Reduction
Indirect Cost (if utilizing ICR)
Admin Fee related costs</t>
        </r>
      </text>
    </comment>
    <comment ref="E6" authorId="1" shapeId="0" xr:uid="{7DA291BD-4226-4323-A6E2-0C856E7AA551}">
      <text>
        <r>
          <rPr>
            <b/>
            <sz val="9"/>
            <color indexed="81"/>
            <rFont val="Tahoma"/>
            <family val="2"/>
          </rPr>
          <t>Enter activity cost dollar amount. The figure will automatically format correctly with dollar sign and commas.</t>
        </r>
      </text>
    </comment>
    <comment ref="B7" authorId="1" shapeId="0" xr:uid="{56C8BFDE-451B-4A68-B669-DECFD87700DE}">
      <text>
        <r>
          <rPr>
            <b/>
            <sz val="9"/>
            <color indexed="81"/>
            <rFont val="Tahoma"/>
            <family val="2"/>
          </rPr>
          <t>Choose the correct category from the pull-down menu: 1, 2, 3, Indirect Cost, or Admin.</t>
        </r>
      </text>
    </comment>
    <comment ref="C7" authorId="1" shapeId="0" xr:uid="{A51B05C1-809C-440B-B6E5-34D747F51DE7}">
      <text>
        <r>
          <rPr>
            <b/>
            <sz val="9"/>
            <color indexed="81"/>
            <rFont val="Tahoma"/>
            <family val="2"/>
          </rPr>
          <t>Choose the correct budget category from the pull-down menu.</t>
        </r>
      </text>
    </comment>
    <comment ref="E36" authorId="1" shapeId="0" xr:uid="{707F8698-98F8-4D25-97F2-95BE0028975A}">
      <text>
        <r>
          <rPr>
            <b/>
            <sz val="9"/>
            <color indexed="81"/>
            <rFont val="Tahoma"/>
            <family val="2"/>
          </rPr>
          <t xml:space="preserve">If red, it means the budget and allocation do not match. </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Audrey Carnahan</author>
    <author>Maggie Rowlands</author>
    <author>Chiki, Frank</author>
    <author>Marshall, Dwayne A</author>
  </authors>
  <commentList>
    <comment ref="G4" authorId="0" shapeId="0" xr:uid="{BEE3A750-B832-471F-8A1B-F0D42E2DA9D6}">
      <text>
        <r>
          <rPr>
            <sz val="9"/>
            <color indexed="81"/>
            <rFont val="Tahoma"/>
            <family val="2"/>
          </rPr>
          <t>Contracts and agreements, conference/workshop registrations, substitutes if provided by an outside contractor</t>
        </r>
      </text>
    </comment>
    <comment ref="I4" authorId="0" shapeId="0" xr:uid="{98EBC04B-DDF7-43F6-B295-311F7629A06D}">
      <text>
        <r>
          <rPr>
            <sz val="9"/>
            <color indexed="81"/>
            <rFont val="Tahoma"/>
            <family val="2"/>
          </rPr>
          <t>Student transportation, postage, printing, travel</t>
        </r>
      </text>
    </comment>
    <comment ref="J4" authorId="0" shapeId="0" xr:uid="{2A5454A0-3E60-4640-8E03-AE939F7004A7}">
      <text>
        <r>
          <rPr>
            <sz val="9"/>
            <color indexed="81"/>
            <rFont val="Tahoma"/>
            <family val="2"/>
          </rPr>
          <t>Books, notebooks, paper, professional development materials/books</t>
        </r>
      </text>
    </comment>
    <comment ref="K4" authorId="0" shapeId="0" xr:uid="{4BD123DC-0843-4D0E-82DE-74BC8A888B6C}">
      <text>
        <r>
          <rPr>
            <sz val="9"/>
            <color indexed="81"/>
            <rFont val="Tahoma"/>
            <family val="2"/>
          </rPr>
          <t>File cabinets, tables</t>
        </r>
      </text>
    </comment>
    <comment ref="L4" authorId="0" shapeId="0" xr:uid="{CB00DFC8-96E2-4205-AAD8-46D1F14DC39B}">
      <text>
        <r>
          <rPr>
            <sz val="9"/>
            <color indexed="81"/>
            <rFont val="Tahoma"/>
            <family val="2"/>
          </rPr>
          <t>Excess carryover, reimbursement of Choice Transportation for buses owned by the district, correction of errors</t>
        </r>
      </text>
    </comment>
    <comment ref="C5" authorId="0" shapeId="0" xr:uid="{DBE8A0F9-7AE0-4539-829D-4DF67A9BEC74}">
      <text>
        <r>
          <rPr>
            <sz val="9"/>
            <color indexed="81"/>
            <rFont val="Tahoma"/>
            <family val="2"/>
          </rPr>
          <t>Title II teacher salaries, stipends, literacy coaches, substitutes if hired through the LEA</t>
        </r>
      </text>
    </comment>
    <comment ref="B6" authorId="0" shapeId="0" xr:uid="{7506F162-B797-415C-953D-A2ADB42AB695}">
      <text>
        <r>
          <rPr>
            <sz val="9"/>
            <color indexed="81"/>
            <rFont val="Tahoma"/>
            <family val="2"/>
          </rPr>
          <t xml:space="preserve">Direct instruction for students
</t>
        </r>
      </text>
    </comment>
    <comment ref="B7" authorId="0" shapeId="0" xr:uid="{6B07EE21-1112-4ED3-939E-4E2EC926B87A}">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xr:uid="{762F84AE-76D6-4803-8F93-E7C846715EDC}">
      <text>
        <r>
          <rPr>
            <sz val="9"/>
            <color indexed="81"/>
            <rFont val="Tahoma"/>
            <family val="2"/>
          </rPr>
          <t>Professional Development</t>
        </r>
      </text>
    </comment>
    <comment ref="B9" authorId="0" shapeId="0" xr:uid="{FBEDF5E7-608A-40FF-979A-57F19EE7FF0C}">
      <text>
        <r>
          <rPr>
            <sz val="9"/>
            <color indexed="81"/>
            <rFont val="Tahoma"/>
            <family val="2"/>
          </rPr>
          <t xml:space="preserve">Administrative expenses
</t>
        </r>
      </text>
    </comment>
    <comment ref="B10" authorId="0" shapeId="0" xr:uid="{BDD4C7FB-9794-41B2-B276-3F1358A27CA7}">
      <text>
        <r>
          <rPr>
            <sz val="9"/>
            <color indexed="81"/>
            <rFont val="Tahoma"/>
            <family val="2"/>
          </rPr>
          <t>Return of excess carryover, charge backs</t>
        </r>
      </text>
    </comment>
    <comment ref="B11" authorId="0" shapeId="0" xr:uid="{B067B937-D574-46E0-AACA-71618477CBEE}">
      <text>
        <r>
          <rPr>
            <sz val="9"/>
            <color indexed="81"/>
            <rFont val="Tahoma"/>
            <family val="2"/>
          </rPr>
          <t>Copy machines, printers</t>
        </r>
      </text>
    </comment>
    <comment ref="B12" authorId="1" shapeId="0" xr:uid="{C85A67EF-9A7B-40E8-8081-72DD26B94AE6}">
      <text>
        <r>
          <rPr>
            <sz val="9"/>
            <color indexed="81"/>
            <rFont val="Tahoma"/>
            <family val="2"/>
          </rPr>
          <t xml:space="preserve">Student Transportation Expenses
</t>
        </r>
      </text>
    </comment>
    <comment ref="B13" authorId="0" shapeId="0" xr:uid="{1751005F-E509-4E6D-9047-C875AF7257C7}">
      <text>
        <r>
          <rPr>
            <sz val="9"/>
            <color indexed="81"/>
            <rFont val="Tahoma"/>
            <family val="2"/>
          </rPr>
          <t>Parental Involvement</t>
        </r>
      </text>
    </comment>
    <comment ref="M14" authorId="2" shapeId="0" xr:uid="{322D1B9C-49AE-4A27-9E57-E428B24E35D4}">
      <text>
        <r>
          <rPr>
            <b/>
            <sz val="9"/>
            <color indexed="81"/>
            <rFont val="Tahoma"/>
            <family val="2"/>
          </rPr>
          <t>If cell is red, it does not equal the amount transferred to other Federal grants.</t>
        </r>
      </text>
    </comment>
    <comment ref="M18" authorId="2" shapeId="0" xr:uid="{AC434CB5-2702-4B87-B559-8B2D1F766C31}">
      <text>
        <r>
          <rPr>
            <b/>
            <sz val="9"/>
            <color indexed="81"/>
            <rFont val="Tahoma"/>
            <family val="2"/>
          </rPr>
          <t>If box turns red, the Total for Nonpublic Schools total does not equal equitable share.</t>
        </r>
      </text>
    </comment>
    <comment ref="B19" authorId="3" shapeId="0" xr:uid="{2041B308-3534-4707-9F18-548CCE08621B}">
      <text>
        <r>
          <rPr>
            <sz val="9"/>
            <color indexed="81"/>
            <rFont val="Tahoma"/>
            <family val="2"/>
          </rPr>
          <t xml:space="preserve">Enter as simple decimal.  If ICR is 3.4%, enter "3.4"
</t>
        </r>
      </text>
    </comment>
    <comment ref="M19" authorId="3" shapeId="0" xr:uid="{460F558C-9E86-44DC-8389-59AE7B62F088}">
      <text>
        <r>
          <rPr>
            <b/>
            <sz val="9"/>
            <color indexed="81"/>
            <rFont val="Tahoma"/>
            <family val="2"/>
          </rPr>
          <t>Enter figure in parentheses, i.e. (23450.00).</t>
        </r>
        <r>
          <rPr>
            <sz val="9"/>
            <color indexed="81"/>
            <rFont val="Tahoma"/>
            <family val="2"/>
          </rPr>
          <t xml:space="preserve">
</t>
        </r>
      </text>
    </comment>
    <comment ref="M22" authorId="2" shapeId="0" xr:uid="{D89B4F19-F237-4693-937F-B23E165DF27B}">
      <text>
        <r>
          <rPr>
            <b/>
            <sz val="9"/>
            <color indexed="81"/>
            <rFont val="Tahoma"/>
            <family val="2"/>
          </rPr>
          <t>If box turns red, the total indirect cost used is greater than amount available.</t>
        </r>
      </text>
    </comment>
    <comment ref="M23" authorId="2" shapeId="0" xr:uid="{552C2DC6-1918-46DF-8DAB-98F6C7E301AA}">
      <text>
        <r>
          <rPr>
            <b/>
            <sz val="9"/>
            <color indexed="81"/>
            <rFont val="Tahoma"/>
            <family val="2"/>
          </rPr>
          <t>If box turns red, the total administration is greater than the allowable 3%.</t>
        </r>
      </text>
    </comment>
    <comment ref="M24" authorId="2" shapeId="0" xr:uid="{E66C3EB5-E9F8-4987-8FA7-983DE31E4975}">
      <text>
        <r>
          <rPr>
            <b/>
            <sz val="9"/>
            <color indexed="81"/>
            <rFont val="Tahoma"/>
            <family val="2"/>
          </rPr>
          <t>If green, all funds have been budgeted.</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C14" authorId="0" shapeId="0" xr:uid="{14166309-A693-4C94-9FB8-4FCD7524187C}">
      <text>
        <r>
          <rPr>
            <b/>
            <sz val="14"/>
            <color indexed="81"/>
            <rFont val="Calibri"/>
            <family val="2"/>
            <scheme val="minor"/>
          </rPr>
          <t>To insert a hard carriage return, hit Alt Return.</t>
        </r>
      </text>
    </comment>
    <comment ref="M18" authorId="0" shapeId="0" xr:uid="{4F08800C-D117-49E7-B72C-9E599F911FBA}">
      <text>
        <r>
          <rPr>
            <b/>
            <sz val="14"/>
            <color indexed="81"/>
            <rFont val="Calibri"/>
            <family val="2"/>
            <scheme val="minor"/>
          </rPr>
          <t>To insert a hard carriage return, hit Alt Return.</t>
        </r>
      </text>
    </comment>
    <comment ref="H19" authorId="0" shapeId="0" xr:uid="{99F25C01-AD10-49A6-B0F5-4D6710200BD8}">
      <text>
        <r>
          <rPr>
            <b/>
            <sz val="14"/>
            <color indexed="81"/>
            <rFont val="Calibri"/>
            <family val="2"/>
            <scheme val="minor"/>
          </rPr>
          <t>To insert a hard carriage return, hit Alt Return.</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B4" authorId="0" shapeId="0" xr:uid="{90ED0C7B-5DCC-4AE3-BD53-50CF41EF11F0}">
      <text>
        <r>
          <rPr>
            <sz val="11"/>
            <color indexed="81"/>
            <rFont val="Calibri"/>
            <family val="2"/>
            <scheme val="minor"/>
          </rPr>
          <t>Date application submitted to IDOE or 7/1/21, whichever is later. Grants Specialist will complete this field.</t>
        </r>
      </text>
    </comment>
    <comment ref="B15" authorId="0" shapeId="0" xr:uid="{1E6A37C6-110B-4E2D-ACEF-5CDEA1AD2AB3}">
      <text>
        <r>
          <rPr>
            <b/>
            <sz val="9"/>
            <color indexed="81"/>
            <rFont val="Tahoma"/>
            <family val="2"/>
          </rPr>
          <t>If box shows as red, the amount is greater than 3% of allocation.</t>
        </r>
      </text>
    </comment>
    <comment ref="A29" authorId="0" shapeId="0" xr:uid="{9A1CC63A-2151-4188-BB22-1666E1C8CA9A}">
      <text>
        <r>
          <rPr>
            <b/>
            <sz val="9"/>
            <color indexed="81"/>
            <rFont val="Tahoma"/>
            <family val="2"/>
          </rPr>
          <t xml:space="preserve">Please note all reimbursements for transferred funds must be requested through the original grant.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Marshall, Dwayne A</author>
    <author>Chiki, Frank</author>
  </authors>
  <commentList>
    <comment ref="B4" authorId="0" shapeId="0" xr:uid="{00000000-0006-0000-0400-000001000000}">
      <text>
        <r>
          <rPr>
            <sz val="9"/>
            <color indexed="81"/>
            <rFont val="Tahoma"/>
            <family val="2"/>
          </rPr>
          <t>1) Recruitment, Retention, Incentives, and Differentiated Pay
2) Professional Development
3) Class-size Reduction
Indirect Cost (if utilizing ICR)
Admin Fee related costs</t>
        </r>
      </text>
    </comment>
    <comment ref="B5" authorId="0" shapeId="0" xr:uid="{00000000-0006-0000-0400-000002000000}">
      <text>
        <r>
          <rPr>
            <sz val="9"/>
            <color indexed="81"/>
            <rFont val="Tahoma"/>
            <family val="2"/>
          </rPr>
          <t>1) Recruitment, Retention, Incentives, and Differentiated Pay
2) Professional Development
3) Class-size Reduction
Indirect Cost (if utilizing ICR)
Admin Fee related costs</t>
        </r>
      </text>
    </comment>
    <comment ref="B6" authorId="1" shapeId="0" xr:uid="{192D816F-C995-4880-9564-B5FFC25378D1}">
      <text>
        <r>
          <rPr>
            <b/>
            <sz val="10"/>
            <color indexed="81"/>
            <rFont val="Tahoma"/>
            <family val="2"/>
          </rPr>
          <t>Choose the correct category from the pull-down menu.</t>
        </r>
      </text>
    </comment>
    <comment ref="E6" authorId="1" shapeId="0" xr:uid="{809FC9EC-E1DC-458F-9A98-610D1F1E6405}">
      <text>
        <r>
          <rPr>
            <b/>
            <sz val="9"/>
            <color indexed="81"/>
            <rFont val="Tahoma"/>
            <family val="2"/>
          </rPr>
          <t>Enter activity cost dollar amount. The figure will automatically format correctly with dollar sign and commas.</t>
        </r>
      </text>
    </comment>
    <comment ref="C7" authorId="1" shapeId="0" xr:uid="{71B8E3A7-6736-47DC-B03C-AC82382CDDE2}">
      <text>
        <r>
          <rPr>
            <b/>
            <sz val="10"/>
            <color indexed="81"/>
            <rFont val="Tahoma"/>
            <family val="2"/>
          </rPr>
          <t>Choose the correct budget category from the pull-down menu.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Audrey Carnahan</author>
    <author>Maggie Rowlands</author>
    <author>Chiki, Frank</author>
    <author>Marshall, Dwayne A</author>
  </authors>
  <commentList>
    <comment ref="G4" authorId="0" shapeId="0" xr:uid="{00000000-0006-0000-0600-000001000000}">
      <text>
        <r>
          <rPr>
            <sz val="9"/>
            <color indexed="81"/>
            <rFont val="Tahoma"/>
            <family val="2"/>
          </rPr>
          <t>Contracts and agreements, conference/workshop registrations, substitutes if provided by an outside contractor</t>
        </r>
      </text>
    </comment>
    <comment ref="I4" authorId="0" shapeId="0" xr:uid="{00000000-0006-0000-0600-000003000000}">
      <text>
        <r>
          <rPr>
            <sz val="9"/>
            <color indexed="81"/>
            <rFont val="Tahoma"/>
            <family val="2"/>
          </rPr>
          <t>Student transportation, postage, printing, travel</t>
        </r>
      </text>
    </comment>
    <comment ref="J4" authorId="0" shapeId="0" xr:uid="{00000000-0006-0000-0600-000004000000}">
      <text>
        <r>
          <rPr>
            <sz val="9"/>
            <color indexed="81"/>
            <rFont val="Tahoma"/>
            <family val="2"/>
          </rPr>
          <t>Books, notebooks, paper, professional development materials/books</t>
        </r>
      </text>
    </comment>
    <comment ref="K4" authorId="0" shapeId="0" xr:uid="{00000000-0006-0000-0600-000005000000}">
      <text>
        <r>
          <rPr>
            <sz val="9"/>
            <color indexed="81"/>
            <rFont val="Tahoma"/>
            <family val="2"/>
          </rPr>
          <t xml:space="preserve">File cabinets, computer hardware, technology </t>
        </r>
      </text>
    </comment>
    <comment ref="L4" authorId="0" shapeId="0" xr:uid="{00000000-0006-0000-0600-000006000000}">
      <text>
        <r>
          <rPr>
            <sz val="9"/>
            <color indexed="81"/>
            <rFont val="Tahoma"/>
            <family val="2"/>
          </rPr>
          <t>Excess carryover, reimbursement of Choice Transportation for buses owned by the district, correction of errors</t>
        </r>
      </text>
    </comment>
    <comment ref="C5" authorId="0" shapeId="0" xr:uid="{00000000-0006-0000-0600-000007000000}">
      <text>
        <r>
          <rPr>
            <sz val="9"/>
            <color indexed="81"/>
            <rFont val="Tahoma"/>
            <family val="2"/>
          </rPr>
          <t>Title II teacher salaries, stipends, literacy coaches, substitutes if hired through the LEA</t>
        </r>
      </text>
    </comment>
    <comment ref="B6" authorId="0" shapeId="0" xr:uid="{00000000-0006-0000-0600-000008000000}">
      <text>
        <r>
          <rPr>
            <sz val="9"/>
            <color indexed="81"/>
            <rFont val="Tahoma"/>
            <family val="2"/>
          </rPr>
          <t xml:space="preserve">Direct instruction for students
</t>
        </r>
      </text>
    </comment>
    <comment ref="B7" authorId="0" shapeId="0" xr:uid="{00000000-0006-0000-0600-000009000000}">
      <text>
        <r>
          <rPr>
            <sz val="9"/>
            <color indexed="81"/>
            <rFont val="Tahoma"/>
            <family val="2"/>
          </rPr>
          <t xml:space="preserve">Guidance counselor, social worker, nurse, etc.
</t>
        </r>
        <r>
          <rPr>
            <b/>
            <sz val="9"/>
            <color indexed="81"/>
            <rFont val="Tahoma"/>
            <family val="2"/>
          </rPr>
          <t xml:space="preserve">
</t>
        </r>
        <r>
          <rPr>
            <sz val="9"/>
            <color indexed="81"/>
            <rFont val="Tahoma"/>
            <family val="2"/>
          </rPr>
          <t xml:space="preserve">
</t>
        </r>
      </text>
    </comment>
    <comment ref="B8" authorId="0" shapeId="0" xr:uid="{00000000-0006-0000-0600-00000A000000}">
      <text>
        <r>
          <rPr>
            <sz val="9"/>
            <color indexed="81"/>
            <rFont val="Tahoma"/>
            <family val="2"/>
          </rPr>
          <t>Professional Development</t>
        </r>
      </text>
    </comment>
    <comment ref="B9" authorId="0" shapeId="0" xr:uid="{00000000-0006-0000-0600-00000B000000}">
      <text>
        <r>
          <rPr>
            <sz val="9"/>
            <color indexed="81"/>
            <rFont val="Tahoma"/>
            <family val="2"/>
          </rPr>
          <t xml:space="preserve">Administrative expenses
</t>
        </r>
      </text>
    </comment>
    <comment ref="B10" authorId="0" shapeId="0" xr:uid="{00000000-0006-0000-0600-00000C000000}">
      <text>
        <r>
          <rPr>
            <sz val="9"/>
            <color indexed="81"/>
            <rFont val="Tahoma"/>
            <family val="2"/>
          </rPr>
          <t>Return of excess carryover, charge backs</t>
        </r>
      </text>
    </comment>
    <comment ref="B11" authorId="0" shapeId="0" xr:uid="{00000000-0006-0000-0600-00000D000000}">
      <text>
        <r>
          <rPr>
            <sz val="9"/>
            <color indexed="81"/>
            <rFont val="Tahoma"/>
            <family val="2"/>
          </rPr>
          <t>Copy machines, printers</t>
        </r>
      </text>
    </comment>
    <comment ref="B12" authorId="1" shapeId="0" xr:uid="{00000000-0006-0000-0600-00000E000000}">
      <text>
        <r>
          <rPr>
            <sz val="9"/>
            <color indexed="81"/>
            <rFont val="Tahoma"/>
            <family val="2"/>
          </rPr>
          <t xml:space="preserve">Student Transportation Expenses
</t>
        </r>
      </text>
    </comment>
    <comment ref="B13" authorId="0" shapeId="0" xr:uid="{00000000-0006-0000-0600-00000F000000}">
      <text>
        <r>
          <rPr>
            <sz val="9"/>
            <color indexed="81"/>
            <rFont val="Tahoma"/>
            <family val="2"/>
          </rPr>
          <t>Parental Involvement</t>
        </r>
      </text>
    </comment>
    <comment ref="M18" authorId="2" shapeId="0" xr:uid="{5406DE90-EC2B-4301-B6CA-33772FFFCFF9}">
      <text>
        <r>
          <rPr>
            <b/>
            <sz val="9"/>
            <color indexed="81"/>
            <rFont val="Tahoma"/>
            <family val="2"/>
          </rPr>
          <t>If box turns red, the Total for Nonpublic Schools total does not equal equitable share.</t>
        </r>
      </text>
    </comment>
    <comment ref="B19" authorId="3" shapeId="0" xr:uid="{00000000-0006-0000-0600-000010000000}">
      <text>
        <r>
          <rPr>
            <sz val="9"/>
            <color indexed="81"/>
            <rFont val="Tahoma"/>
            <family val="2"/>
          </rPr>
          <t xml:space="preserve">Enter as simple decimal.  If ICR is 3.4%, enter "3.4"
</t>
        </r>
      </text>
    </comment>
    <comment ref="M19" authorId="3" shapeId="0" xr:uid="{00000000-0006-0000-0600-000011000000}">
      <text>
        <r>
          <rPr>
            <b/>
            <sz val="9"/>
            <color indexed="81"/>
            <rFont val="Tahoma"/>
            <family val="2"/>
          </rPr>
          <t xml:space="preserve">Enter figure in parentheses, i.e. (23450.00).
</t>
        </r>
      </text>
    </comment>
    <comment ref="M22" authorId="2" shapeId="0" xr:uid="{F34FDF01-21F2-4F50-A96B-8D2B39DBB610}">
      <text>
        <r>
          <rPr>
            <b/>
            <sz val="9"/>
            <color indexed="81"/>
            <rFont val="Tahoma"/>
            <family val="2"/>
          </rPr>
          <t>If box turns red, the total indirect cost used is greater than amount available.</t>
        </r>
      </text>
    </comment>
    <comment ref="M23" authorId="2" shapeId="0" xr:uid="{D9771172-CE37-4D21-BF3B-90DF26A79F87}">
      <text>
        <r>
          <rPr>
            <b/>
            <sz val="9"/>
            <color indexed="81"/>
            <rFont val="Tahoma"/>
            <family val="2"/>
          </rPr>
          <t>If box turns red, the total administration is greater than the allowable 3%.</t>
        </r>
      </text>
    </comment>
    <comment ref="M24" authorId="2" shapeId="0" xr:uid="{6A12B948-BA3D-4949-9819-18CD1D2E2D74}">
      <text>
        <r>
          <rPr>
            <b/>
            <sz val="9"/>
            <color indexed="81"/>
            <rFont val="Tahoma"/>
            <family val="2"/>
          </rPr>
          <t>If green, all funds have been budgeted.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C14" authorId="0" shapeId="0" xr:uid="{F3640665-D233-4032-B9D2-878453C49DCD}">
      <text>
        <r>
          <rPr>
            <b/>
            <sz val="14"/>
            <color indexed="81"/>
            <rFont val="Calibri"/>
            <family val="2"/>
            <scheme val="minor"/>
          </rPr>
          <t>To insert a hard carriage return, hit Alt Return.</t>
        </r>
      </text>
    </comment>
    <comment ref="M18" authorId="0" shapeId="0" xr:uid="{419BD76A-A53E-4339-B1AF-814DD1681695}">
      <text>
        <r>
          <rPr>
            <b/>
            <sz val="14"/>
            <color indexed="81"/>
            <rFont val="Calibri"/>
            <family val="2"/>
            <scheme val="minor"/>
          </rPr>
          <t>To insert a hard carriage return, hit Alt Return.</t>
        </r>
      </text>
    </comment>
    <comment ref="H19" authorId="0" shapeId="0" xr:uid="{C81C2799-D1D5-415D-8554-4333083E20C3}">
      <text>
        <r>
          <rPr>
            <b/>
            <sz val="14"/>
            <color indexed="81"/>
            <rFont val="Calibri"/>
            <family val="2"/>
            <scheme val="minor"/>
          </rPr>
          <t>To insert a hard carriage return, hit Alt Return.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B4" authorId="0" shapeId="0" xr:uid="{A1CE8E11-1BA7-4117-9836-AABF77735384}">
      <text>
        <r>
          <rPr>
            <sz val="11"/>
            <color indexed="81"/>
            <rFont val="Calibri"/>
            <family val="2"/>
            <scheme val="minor"/>
          </rPr>
          <t>Date application submitted to IDOE or 7/1/21, whichever is later. Grants Specialist will complete this field.</t>
        </r>
      </text>
    </comment>
    <comment ref="B15" authorId="0" shapeId="0" xr:uid="{C239CD6D-3E6E-4FDC-92AC-A349B7D26C0C}">
      <text>
        <r>
          <rPr>
            <b/>
            <sz val="9"/>
            <color indexed="81"/>
            <rFont val="Tahoma"/>
            <family val="2"/>
          </rPr>
          <t>If box shows as red, the amount is greater than 3% of allocation.</t>
        </r>
      </text>
    </comment>
    <comment ref="A29" authorId="0" shapeId="0" xr:uid="{AE0C4074-BFF6-411F-8B17-BFA78D022ECE}">
      <text>
        <r>
          <rPr>
            <b/>
            <sz val="9"/>
            <color indexed="81"/>
            <rFont val="Tahoma"/>
            <family val="2"/>
          </rPr>
          <t xml:space="preserve">Please note all reimbursements for transferred funds must be requested through the original grant.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G11" authorId="0" shapeId="0" xr:uid="{56DCBE12-8FCD-4791-B7F9-AA16928AD21E}">
      <text>
        <r>
          <rPr>
            <b/>
            <sz val="9"/>
            <color indexed="81"/>
            <rFont val="Tahoma"/>
            <family val="2"/>
          </rPr>
          <t>Grant specialist will review this figure to ensure all grants are aligned.</t>
        </r>
      </text>
    </comment>
    <comment ref="G13" authorId="0" shapeId="0" xr:uid="{AF25C737-3415-449D-AEFA-73790869119B}">
      <text>
        <r>
          <rPr>
            <b/>
            <sz val="9"/>
            <color indexed="81"/>
            <rFont val="Tahoma"/>
            <family val="2"/>
          </rPr>
          <t>Cell will populate once the Equitable Share tab has been completed.</t>
        </r>
      </text>
    </comment>
    <comment ref="G15" authorId="0" shapeId="0" xr:uid="{4418B2D3-5F6B-4BCE-AAAE-5E510B54E10F}">
      <text>
        <r>
          <rPr>
            <b/>
            <sz val="9"/>
            <color indexed="81"/>
            <rFont val="Tahoma"/>
            <family val="2"/>
          </rPr>
          <t>If box turns red, the total administration is greater than the allowable 3%.</t>
        </r>
        <r>
          <rPr>
            <sz val="9"/>
            <color indexed="81"/>
            <rFont val="Tahoma"/>
            <family val="2"/>
          </rPr>
          <t xml:space="preserve">
</t>
        </r>
      </text>
    </comment>
    <comment ref="J16" authorId="0" shapeId="0" xr:uid="{466E9D8A-5796-4B47-A94A-7FF6FF07EE24}">
      <text>
        <r>
          <rPr>
            <sz val="9"/>
            <color indexed="81"/>
            <rFont val="Tahoma"/>
            <family val="2"/>
          </rPr>
          <t xml:space="preserve">LEA monitoring note: If an LEA places funds solely in this area, the score on the risk assessment, which drives monitoring visits, may be negatively impacted.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Chiki, Frank</author>
  </authors>
  <commentList>
    <comment ref="A11" authorId="0" shapeId="0" xr:uid="{2C061209-A11B-4585-8D0F-0FAA5F590B6C}">
      <text>
        <r>
          <rPr>
            <b/>
            <sz val="9"/>
            <color indexed="81"/>
            <rFont val="Tahoma"/>
            <family val="2"/>
          </rPr>
          <t>Enter nonpublic school number in this format: A550 (letter should be a capital letter).</t>
        </r>
      </text>
    </comment>
    <comment ref="D11" authorId="0" shapeId="0" xr:uid="{7A74A05C-36EC-4EF9-9738-5D9B7ACADBA6}">
      <text>
        <r>
          <rPr>
            <b/>
            <sz val="9"/>
            <color indexed="81"/>
            <rFont val="Tahoma"/>
            <family val="2"/>
          </rPr>
          <t>This column will be autofilled based upon nonpublic school number entered in Column A.</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2567167-C9A2-433F-8B26-DD58BAE7676E}" keepAlive="1" name="Query - Table13" description="Connection to the 'Table13' query in the workbook." type="5" refreshedVersion="6" background="1" saveData="1">
    <dbPr connection="Provider=Microsoft.Mashup.OleDb.1;Data Source=$Workbook$;Location=Table13;Extended Properties=&quot;&quot;" command="SELECT * FROM [Table13]"/>
  </connection>
</connections>
</file>

<file path=xl/sharedStrings.xml><?xml version="1.0" encoding="utf-8"?>
<sst xmlns="http://schemas.openxmlformats.org/spreadsheetml/2006/main" count="4093" uniqueCount="2553">
  <si>
    <t>Complete the budget below:</t>
  </si>
  <si>
    <t>211-290</t>
  </si>
  <si>
    <t>311-319</t>
  </si>
  <si>
    <t>510-593</t>
  </si>
  <si>
    <t>611-689</t>
  </si>
  <si>
    <t>710-748</t>
  </si>
  <si>
    <t>Account Number</t>
  </si>
  <si>
    <t>Expenditure Account</t>
  </si>
  <si>
    <t>Salary</t>
  </si>
  <si>
    <t>Benefits</t>
  </si>
  <si>
    <t>Professional Services</t>
  </si>
  <si>
    <t>Rentals</t>
  </si>
  <si>
    <t>Other Purchase Services</t>
  </si>
  <si>
    <t>General Supplies</t>
  </si>
  <si>
    <t>Property</t>
  </si>
  <si>
    <t>Transfer</t>
  </si>
  <si>
    <t>Line Totals</t>
  </si>
  <si>
    <t>Instruction</t>
  </si>
  <si>
    <t>Support Services - Student</t>
  </si>
  <si>
    <t>Refund of Revenue</t>
  </si>
  <si>
    <t>Operation &amp; Maintenance</t>
  </si>
  <si>
    <t>Transportation</t>
  </si>
  <si>
    <t>Community Service Operations</t>
  </si>
  <si>
    <t>Column Totals</t>
  </si>
  <si>
    <t>Subtract the amount above $25,000 (per individual contracted service) from your total budget:</t>
  </si>
  <si>
    <t xml:space="preserve">Total after deducting Property: </t>
  </si>
  <si>
    <t xml:space="preserve">Total Available for Indirect Costs: </t>
  </si>
  <si>
    <t>Amount of Indirect Cost to be used:</t>
  </si>
  <si>
    <t>Other Support Services-Admin</t>
  </si>
  <si>
    <t>Subtotal:</t>
  </si>
  <si>
    <t xml:space="preserve">Total Allocation: </t>
  </si>
  <si>
    <t>Amount</t>
  </si>
  <si>
    <t>Activity Description</t>
  </si>
  <si>
    <t>Budget Category</t>
  </si>
  <si>
    <t>Total</t>
  </si>
  <si>
    <t>Instruction: Professional Services</t>
  </si>
  <si>
    <t>Instruction: Rentals</t>
  </si>
  <si>
    <t>Instruction: Other Purchased Services</t>
  </si>
  <si>
    <t>Instruction: General Supplies</t>
  </si>
  <si>
    <t>Instruction: Property</t>
  </si>
  <si>
    <t>Support Services (Student): Professional Services</t>
  </si>
  <si>
    <t>Support Services (Student): Rentals</t>
  </si>
  <si>
    <t>Support Services (Student): Other Purchased Services</t>
  </si>
  <si>
    <t>Support Services (Student): General Supplies</t>
  </si>
  <si>
    <t>Support Services (Student): Property</t>
  </si>
  <si>
    <t>Improvement of Instruction: Professional Services</t>
  </si>
  <si>
    <t>Improvement of Instruction: Rentals</t>
  </si>
  <si>
    <t>Improvement of Instruction: Other Purchased Services</t>
  </si>
  <si>
    <t>Improvement of Instruction: General Supplies</t>
  </si>
  <si>
    <t>Improvement of Instruction: Property</t>
  </si>
  <si>
    <t>Operations and Maintenance: Professional Services</t>
  </si>
  <si>
    <t>Operations and Maintenance: Rentals</t>
  </si>
  <si>
    <t>Operations and Maintenance: Other Purchased Services</t>
  </si>
  <si>
    <t>Operations and Maintenance: General Supplies</t>
  </si>
  <si>
    <t>Operations and Maintenance: Property</t>
  </si>
  <si>
    <t>Transportation: Professional Services</t>
  </si>
  <si>
    <t>Transportation: Rentals</t>
  </si>
  <si>
    <t>Transportation: Other Purchased Services</t>
  </si>
  <si>
    <t>Transportation: General Supplies</t>
  </si>
  <si>
    <t>Transportation: Property</t>
  </si>
  <si>
    <t>Community Services Operations: Professional Services</t>
  </si>
  <si>
    <t>Community Services Operations: Rentals</t>
  </si>
  <si>
    <t>Community Services Operations: Other Purchased Services</t>
  </si>
  <si>
    <t>Community Services Operations: General Supplies</t>
  </si>
  <si>
    <t>Community Services Operations: Property</t>
  </si>
  <si>
    <t>Indirect Cost Used</t>
  </si>
  <si>
    <t>Budget Category Reference</t>
  </si>
  <si>
    <t>District Total (not including Non-Pubs)</t>
  </si>
  <si>
    <t xml:space="preserve">Public Allocation: </t>
  </si>
  <si>
    <t>TOTAL Non-Pub Budget</t>
  </si>
  <si>
    <t>Object Code</t>
  </si>
  <si>
    <t>TOTAL LEA (Public) Budget</t>
  </si>
  <si>
    <t>Indirect Cost Rate %</t>
  </si>
  <si>
    <t>Grand Total After Indirect Cost:</t>
  </si>
  <si>
    <t xml:space="preserve">% </t>
  </si>
  <si>
    <t>Yes</t>
  </si>
  <si>
    <t xml:space="preserve"> $2,000.75 </t>
  </si>
  <si>
    <t>Total Public Budget</t>
  </si>
  <si>
    <t>Corp. # School Corp:</t>
  </si>
  <si>
    <t>Cert/Non Cert.</t>
  </si>
  <si>
    <t>Cert./Non Cert.</t>
  </si>
  <si>
    <t>Instruction: Salary (Cert./Non Cert.)</t>
  </si>
  <si>
    <t>Instruction: Benefits (Cert./Non Cert.)</t>
  </si>
  <si>
    <t>Support Services (Student): Salary (Cert./Non Cert.)</t>
  </si>
  <si>
    <t>Support Services (Student): Benefits (Cert./Non Cert.)</t>
  </si>
  <si>
    <t>Improvement of Instruction: Salary (Cert./Non Cert.)</t>
  </si>
  <si>
    <t>Improvement of Instruction: Benefits (Cert./Non Cert.)</t>
  </si>
  <si>
    <t>Operations and Maintenance: Salary (Cert./Non Cert.)</t>
  </si>
  <si>
    <t>Operations and Maintenance: Benefits (Cert./Non Cert.)</t>
  </si>
  <si>
    <t>Transportation: Salary (Cert./Non Cert.)</t>
  </si>
  <si>
    <t>Transportation: Benefits (Cert./Non Cert.)</t>
  </si>
  <si>
    <t>Community Services Operations: Salary (Cert./Non Cert.)</t>
  </si>
  <si>
    <t>Community Services Operations: Benefits (Cert./Non Cert.)</t>
  </si>
  <si>
    <t>Total Public Allocation</t>
  </si>
  <si>
    <t>-</t>
  </si>
  <si>
    <t>Indirect Cost to be Used</t>
  </si>
  <si>
    <t xml:space="preserve">Superintendent Name: </t>
  </si>
  <si>
    <t xml:space="preserve">Treasurer Name: </t>
  </si>
  <si>
    <t xml:space="preserve">Email: </t>
  </si>
  <si>
    <t>Total LEA Enrollment</t>
  </si>
  <si>
    <t xml:space="preserve">Use the formula below to calculate equitable share amounts. Please fill in the yellow editable fields, the rest will calculate for you. </t>
  </si>
  <si>
    <t>Total Number of Students</t>
  </si>
  <si>
    <t>+</t>
  </si>
  <si>
    <t>Total Nonpub Enrollment</t>
  </si>
  <si>
    <t>=</t>
  </si>
  <si>
    <t>Per Pupil Allocation (PPA)</t>
  </si>
  <si>
    <t>Nonpublic School Number</t>
  </si>
  <si>
    <t>Nonpublic School Name</t>
  </si>
  <si>
    <t>Nonpublic Total</t>
  </si>
  <si>
    <t>Total Equitable Share</t>
  </si>
  <si>
    <t xml:space="preserve">Equitable Share  </t>
  </si>
  <si>
    <t>/</t>
  </si>
  <si>
    <t>Nonpublic Enrollment (Enter "0" if not participating)</t>
  </si>
  <si>
    <r>
      <t xml:space="preserve">Please complete </t>
    </r>
    <r>
      <rPr>
        <b/>
        <u/>
        <sz val="9"/>
        <color theme="0"/>
        <rFont val="Century Gothic"/>
        <family val="2"/>
      </rPr>
      <t>ONLY</t>
    </r>
    <r>
      <rPr>
        <b/>
        <sz val="9"/>
        <color theme="0"/>
        <rFont val="Century Gothic"/>
        <family val="2"/>
      </rPr>
      <t xml:space="preserve"> the yellow editable fields below, the rest will autopopulate as you complete the form.</t>
    </r>
  </si>
  <si>
    <t>FFY2021 Title II-A Application and Budget Overview</t>
  </si>
  <si>
    <t>Category One</t>
  </si>
  <si>
    <t>Category Two</t>
  </si>
  <si>
    <t>Category Three</t>
  </si>
  <si>
    <t xml:space="preserve">Title II Contact Name: </t>
  </si>
  <si>
    <t>Phone:</t>
  </si>
  <si>
    <t>Submission Instructions</t>
  </si>
  <si>
    <t>Comprehensive Needs Assessment (CNA)</t>
  </si>
  <si>
    <r>
      <rPr>
        <b/>
        <sz val="11"/>
        <color theme="1"/>
        <rFont val="Calibri"/>
        <family val="2"/>
        <scheme val="minor"/>
      </rPr>
      <t>Program Goals and Objectives:</t>
    </r>
    <r>
      <rPr>
        <sz val="11"/>
        <color theme="1"/>
        <rFont val="Calibri"/>
        <family val="2"/>
        <scheme val="minor"/>
      </rPr>
      <t xml:space="preserve">
</t>
    </r>
    <r>
      <rPr>
        <i/>
        <sz val="11"/>
        <color theme="1"/>
        <rFont val="Calibri"/>
        <family val="2"/>
        <scheme val="minor"/>
      </rPr>
      <t>Briefly describe what will be accomplished through the proposed system of professional growth and improvement through Title II-A.</t>
    </r>
  </si>
  <si>
    <r>
      <rPr>
        <b/>
        <sz val="11"/>
        <color theme="1"/>
        <rFont val="Calibri"/>
        <family val="2"/>
        <scheme val="minor"/>
      </rPr>
      <t>Data Sources and Measures:</t>
    </r>
    <r>
      <rPr>
        <sz val="11"/>
        <color theme="1"/>
        <rFont val="Calibri"/>
        <family val="2"/>
        <scheme val="minor"/>
      </rPr>
      <t xml:space="preserve">
</t>
    </r>
    <r>
      <rPr>
        <i/>
        <sz val="11"/>
        <color theme="1"/>
        <rFont val="Calibri"/>
        <family val="2"/>
        <scheme val="minor"/>
      </rPr>
      <t>Include both educator and student data analyzed to determine needs.</t>
    </r>
  </si>
  <si>
    <r>
      <rPr>
        <b/>
        <sz val="11"/>
        <color theme="1"/>
        <rFont val="Calibri"/>
        <family val="2"/>
        <scheme val="minor"/>
      </rPr>
      <t>Prioritized Needs:</t>
    </r>
    <r>
      <rPr>
        <sz val="11"/>
        <color theme="1"/>
        <rFont val="Calibri"/>
        <family val="2"/>
        <scheme val="minor"/>
      </rPr>
      <t xml:space="preserve">
</t>
    </r>
    <r>
      <rPr>
        <i/>
        <sz val="11"/>
        <color theme="1"/>
        <rFont val="Calibri"/>
        <family val="2"/>
        <scheme val="minor"/>
      </rPr>
      <t>Describe the needs (NOT activities) determined through an analysis of the data; include in the description an explanation of how the LEA will prioritize funds for schools identified for comprehensive and targeted support and improvement</t>
    </r>
  </si>
  <si>
    <t>Describe the manner in which the consultation occurred in the space below.</t>
  </si>
  <si>
    <t>Resources</t>
  </si>
  <si>
    <t>Comprehensive Needs Assessment and Title II, Part A (Indiana Department of Education)</t>
  </si>
  <si>
    <r>
      <rPr>
        <sz val="11"/>
        <color theme="10"/>
        <rFont val="Calibri"/>
        <family val="2"/>
        <scheme val="minor"/>
      </rPr>
      <t xml:space="preserve">Recording: </t>
    </r>
    <r>
      <rPr>
        <u/>
        <sz val="11"/>
        <color theme="10"/>
        <rFont val="Calibri"/>
        <family val="2"/>
        <scheme val="minor"/>
      </rPr>
      <t>https://www.youtube.com/watch?v=f06W2Xm6FZs&amp;feature=youtu.be</t>
    </r>
  </si>
  <si>
    <t>Non-Regulatory Guidance for Title II, Part A (U.S. Department of Education)</t>
  </si>
  <si>
    <t>https://www2.ed.gov/policy/elsec/leg/essa/essatitleiipartaguidance.pdf</t>
  </si>
  <si>
    <t>Evidence-based Requirements</t>
  </si>
  <si>
    <t>Briefly describe how the selected activities support the program goals and objectives and address the prioritized needs identified on previous page.</t>
  </si>
  <si>
    <t>Title II-A Calculating Equitable Share</t>
  </si>
  <si>
    <t>Title II-A Public LEA Worksheet</t>
  </si>
  <si>
    <t>Category</t>
  </si>
  <si>
    <t>$500 stipend for department chair</t>
  </si>
  <si>
    <t>1</t>
  </si>
  <si>
    <t xml:space="preserve"> Explain how the selected activities:
     (1)   are aligned with Indiana’s college- and career-ready academic standards;
     (2)   address the learning needs of all students (including children with disabilities, English learners, and gifted and talented students); and
     (3)   will be coordinated with other Federal, State, and local funds </t>
  </si>
  <si>
    <t>Indiana Academic Standards</t>
  </si>
  <si>
    <t>Learning Needs of All Students</t>
  </si>
  <si>
    <t>Coordination of Funds</t>
  </si>
  <si>
    <t xml:space="preserve"> </t>
  </si>
  <si>
    <t>Title II-A Original Budget</t>
  </si>
  <si>
    <t>Category One: Recruitment, Retention, Incentives, and Differentiated Pay</t>
  </si>
  <si>
    <t>Category Two: Professional Development</t>
  </si>
  <si>
    <t>Category Three: Class-size Reduction</t>
  </si>
  <si>
    <t>Categories</t>
  </si>
  <si>
    <t>INDIANA DEPARTMENT OF EDUCATION</t>
  </si>
  <si>
    <t xml:space="preserve">     Project Period:  </t>
  </si>
  <si>
    <t>School Corporation (#) Name:</t>
  </si>
  <si>
    <r>
      <t xml:space="preserve">Fund: </t>
    </r>
    <r>
      <rPr>
        <b/>
        <u/>
        <sz val="10"/>
        <color rgb="FF000000"/>
        <rFont val="Calibri"/>
        <family val="2"/>
        <scheme val="minor"/>
      </rPr>
      <t>6840 series</t>
    </r>
    <r>
      <rPr>
        <b/>
        <sz val="10"/>
        <color rgb="FF000000"/>
        <rFont val="Calibri"/>
        <family val="2"/>
        <scheme val="minor"/>
      </rPr>
      <t xml:space="preserve">   Receipt Acct: </t>
    </r>
    <r>
      <rPr>
        <b/>
        <u/>
        <sz val="10"/>
        <color rgb="FF000000"/>
        <rFont val="Calibri"/>
        <family val="2"/>
        <scheme val="minor"/>
      </rPr>
      <t>4990</t>
    </r>
  </si>
  <si>
    <r>
      <t>Federal Agency:</t>
    </r>
    <r>
      <rPr>
        <sz val="10"/>
        <color rgb="FF000000"/>
        <rFont val="Calibri"/>
        <family val="2"/>
        <scheme val="minor"/>
      </rPr>
      <t xml:space="preserve"> U.S. Department of Education</t>
    </r>
  </si>
  <si>
    <t>CFDA Number: 84-367A</t>
  </si>
  <si>
    <r>
      <t xml:space="preserve">Pass Through Agency: </t>
    </r>
    <r>
      <rPr>
        <sz val="10"/>
        <color rgb="FF000000"/>
        <rFont val="Calibri"/>
        <family val="2"/>
        <scheme val="minor"/>
      </rPr>
      <t>Indiana Department of Education</t>
    </r>
  </si>
  <si>
    <t xml:space="preserve">                    BUDGET SUMMARY</t>
  </si>
  <si>
    <t>Approved Budget</t>
  </si>
  <si>
    <t xml:space="preserve">Expenses from _____________ to </t>
  </si>
  <si>
    <t>Total Expenses to Date</t>
  </si>
  <si>
    <t xml:space="preserve">       ______________</t>
  </si>
  <si>
    <r>
      <t xml:space="preserve">1. </t>
    </r>
    <r>
      <rPr>
        <b/>
        <sz val="10"/>
        <color rgb="FF000000"/>
        <rFont val="Calibri"/>
        <family val="2"/>
        <scheme val="minor"/>
      </rPr>
      <t>Category One</t>
    </r>
    <r>
      <rPr>
        <sz val="10"/>
        <color rgb="FF000000"/>
        <rFont val="Calibri"/>
        <family val="2"/>
        <scheme val="minor"/>
      </rPr>
      <t>: Recruitment, Retention, Incentives, Differentiated Pay</t>
    </r>
  </si>
  <si>
    <r>
      <t xml:space="preserve">2. </t>
    </r>
    <r>
      <rPr>
        <b/>
        <sz val="10"/>
        <color rgb="FF000000"/>
        <rFont val="Calibri"/>
        <family val="2"/>
        <scheme val="minor"/>
      </rPr>
      <t>Category Two</t>
    </r>
    <r>
      <rPr>
        <sz val="10"/>
        <color rgb="FF000000"/>
        <rFont val="Calibri"/>
        <family val="2"/>
        <scheme val="minor"/>
      </rPr>
      <t>: Professional Development</t>
    </r>
  </si>
  <si>
    <r>
      <t xml:space="preserve">3. </t>
    </r>
    <r>
      <rPr>
        <b/>
        <sz val="10"/>
        <color rgb="FF000000"/>
        <rFont val="Calibri"/>
        <family val="2"/>
        <scheme val="minor"/>
      </rPr>
      <t>Category Three</t>
    </r>
    <r>
      <rPr>
        <sz val="10"/>
        <color rgb="FF000000"/>
        <rFont val="Calibri"/>
        <family val="2"/>
        <scheme val="minor"/>
      </rPr>
      <t>: Class-Size Reduction</t>
    </r>
  </si>
  <si>
    <t>4. Administration (Max 3% of total allocation)</t>
  </si>
  <si>
    <t>5. Indirect Cost Rate</t>
  </si>
  <si>
    <t>6. Transfer Funds to:</t>
  </si>
  <si>
    <t>“By signing this report, I certify to the best of my knowledge and belief that the report is true, complete and accurate and the expenditures, disbursements and cash receipts are for the purposes and objectives set forth in the terms and conditions of the federal award. I certify that all activities took place within the approved project period indicated above.  I am aware that any false, fictitious, or fraudulent information or the omission of any material fact, may subject me to criminal civil or administrative penalties for fraud, false statements, false claims, or otherwise.”</t>
  </si>
  <si>
    <t>*Prepared by:</t>
  </si>
  <si>
    <t>Date</t>
  </si>
  <si>
    <t>Signature:</t>
  </si>
  <si>
    <t>Printed Name:</t>
  </si>
  <si>
    <t>Title:</t>
  </si>
  <si>
    <t>*Approved by:</t>
  </si>
  <si>
    <t xml:space="preserve">*The preparer and approver must be two (2) separate individuals </t>
  </si>
  <si>
    <t xml:space="preserve">                            </t>
  </si>
  <si>
    <t xml:space="preserve"> Submit form to:</t>
  </si>
  <si>
    <t>Alisa Payton</t>
  </si>
  <si>
    <t xml:space="preserve"> title2a@doe.in.gov</t>
  </si>
  <si>
    <t xml:space="preserve">Title II-A Allocation </t>
  </si>
  <si>
    <t>Target</t>
  </si>
  <si>
    <t>LEA Name</t>
  </si>
  <si>
    <t>Number of Ages 5 to 17 Formula Children</t>
  </si>
  <si>
    <t>Percentage of Formula Children</t>
  </si>
  <si>
    <t>80% of LEA Allocation</t>
  </si>
  <si>
    <t>Total Number of Ages 5 to 17 Children</t>
  </si>
  <si>
    <t>Relative Percentage of Children Ages 5 - 17</t>
  </si>
  <si>
    <t>20% of LEA Allocation</t>
  </si>
  <si>
    <t>Adams Central Community Schools</t>
  </si>
  <si>
    <t>North Adams Community Schools</t>
  </si>
  <si>
    <t>South Adams Schools</t>
  </si>
  <si>
    <t>Northwest Allen County Schools</t>
  </si>
  <si>
    <t>Fort Wayne Community Schools</t>
  </si>
  <si>
    <t>East Allen County Schools</t>
  </si>
  <si>
    <t>Flat Rock-Hawcreek School Corp</t>
  </si>
  <si>
    <t>Benton Community School Corp</t>
  </si>
  <si>
    <t>Blackford County Schools</t>
  </si>
  <si>
    <t>Western Boone Co Com Sch Dist</t>
  </si>
  <si>
    <t>Zionsville Community Schools</t>
  </si>
  <si>
    <t>Lebanon Community School Corp</t>
  </si>
  <si>
    <t>Brown County School Corporation</t>
  </si>
  <si>
    <t>Delphi Community School Corp</t>
  </si>
  <si>
    <t>Pioneer Regional School Corp</t>
  </si>
  <si>
    <t>Logansport Community Sch Corp</t>
  </si>
  <si>
    <t>Greater Clark County Schools</t>
  </si>
  <si>
    <t>Clay Community Schools</t>
  </si>
  <si>
    <t>Community Schools of Frankfort</t>
  </si>
  <si>
    <t>Rossville Con School District</t>
  </si>
  <si>
    <t xml:space="preserve">      </t>
  </si>
  <si>
    <t>North Daviess Com Schools</t>
  </si>
  <si>
    <t>Sunman-Dearborn Com Sch Corp</t>
  </si>
  <si>
    <t>Greensburg Community Schools</t>
  </si>
  <si>
    <t>DeKalb Co Eastern Com Sch Dist</t>
  </si>
  <si>
    <t>DeKalb Co Ctl United Sch Dist</t>
  </si>
  <si>
    <t>Delaware Community School Corp</t>
  </si>
  <si>
    <t>Wes-Del Community Schools</t>
  </si>
  <si>
    <t>Cowan Community School Corp</t>
  </si>
  <si>
    <t>Yorktown Community Schools</t>
  </si>
  <si>
    <t>Daleville Community Schools</t>
  </si>
  <si>
    <t>Muncie Community Schools</t>
  </si>
  <si>
    <t>Northeast Dubois Co Sch Corp</t>
  </si>
  <si>
    <t>Southeast Dubois Co Sch Corp</t>
  </si>
  <si>
    <t>Southwest Dubois Co Sch Corp</t>
  </si>
  <si>
    <t>Fairfield Community Schools</t>
  </si>
  <si>
    <t>Baugo Community Schools</t>
  </si>
  <si>
    <t>Concord Community Schools</t>
  </si>
  <si>
    <t>Middlebury Community Schools</t>
  </si>
  <si>
    <t>Wa-Nee Community Schools</t>
  </si>
  <si>
    <t>Elkhart Community Schools</t>
  </si>
  <si>
    <t>Goshen Community Schools</t>
  </si>
  <si>
    <t>New Albany-Floyd Co Con Sch</t>
  </si>
  <si>
    <t>Southeast Fountain School Corp</t>
  </si>
  <si>
    <t>Caston School Corporation</t>
  </si>
  <si>
    <t>East Gibson School Corporation</t>
  </si>
  <si>
    <t>Eastbrook Community Sch Corp</t>
  </si>
  <si>
    <t>Mississinewa Community School Corp</t>
  </si>
  <si>
    <t>Marion Community Schools</t>
  </si>
  <si>
    <t>Bloomfield School District</t>
  </si>
  <si>
    <t>Eastern Greene Schools</t>
  </si>
  <si>
    <t>Hamilton Southeastern Schools</t>
  </si>
  <si>
    <t>Hamilton Heights School Corp</t>
  </si>
  <si>
    <t>Westfield-Washington Schools</t>
  </si>
  <si>
    <t>Sheridan Community Schools</t>
  </si>
  <si>
    <t>Carmel Clay Schools</t>
  </si>
  <si>
    <t>Noblesville Schools</t>
  </si>
  <si>
    <t>Southern Hancock Co Com Sch Corp</t>
  </si>
  <si>
    <t>Greenfield-Central Com Schools</t>
  </si>
  <si>
    <t>Eastern Hancock Co Com Sch Corp</t>
  </si>
  <si>
    <t>Lanesville Community School Corp</t>
  </si>
  <si>
    <t>North Harrison Com School Corp</t>
  </si>
  <si>
    <t>South Harrison Com Schools</t>
  </si>
  <si>
    <t>North West Hendricks Schools</t>
  </si>
  <si>
    <t>Danville Community School Corp</t>
  </si>
  <si>
    <t>Mill Creek Community Sch Corp</t>
  </si>
  <si>
    <t>Blue River Valley Schools</t>
  </si>
  <si>
    <t>South Henry School Corp</t>
  </si>
  <si>
    <t>Shenandoah School Corporation</t>
  </si>
  <si>
    <t>C A Beard Memorial School Corp</t>
  </si>
  <si>
    <t>Taylor Community School Corp</t>
  </si>
  <si>
    <t>Northwestern School Corp</t>
  </si>
  <si>
    <t>Kokomo School Corporation</t>
  </si>
  <si>
    <t>Huntington Co Com Sch Corp</t>
  </si>
  <si>
    <t>Medora Community School Corp</t>
  </si>
  <si>
    <t>Seymour Community Schools</t>
  </si>
  <si>
    <t>Brownstown Cnt Com Sch Corp</t>
  </si>
  <si>
    <t>Crothersville Community Schools</t>
  </si>
  <si>
    <t>Kankakee Valley School Corp</t>
  </si>
  <si>
    <t>Rensselaer Central School Corp</t>
  </si>
  <si>
    <t>Madison Consolidated Schools</t>
  </si>
  <si>
    <t>Southwestern-Jefferson Co Con</t>
  </si>
  <si>
    <t>Franklin Community School Corp</t>
  </si>
  <si>
    <t>Greenwood Community Sch Corp</t>
  </si>
  <si>
    <t>Nineveh-Hensley-Jackson United</t>
  </si>
  <si>
    <t>North Knox School Corp</t>
  </si>
  <si>
    <t>South Knox School Corp</t>
  </si>
  <si>
    <t>Wawasee Community School Corp</t>
  </si>
  <si>
    <t>Warsaw Community Schools</t>
  </si>
  <si>
    <t>Tippecanoe Valley School Corp</t>
  </si>
  <si>
    <t>Whitko Community School Corp</t>
  </si>
  <si>
    <t>Westview School Corporation</t>
  </si>
  <si>
    <t>Lakeland School Corporation</t>
  </si>
  <si>
    <t>Hanover Community School Corp</t>
  </si>
  <si>
    <t>River Forest Community Sch Corp</t>
  </si>
  <si>
    <t>Tri-Creek School Corporation</t>
  </si>
  <si>
    <t>School City of East Chicago</t>
  </si>
  <si>
    <t>Lake Station Community Schools</t>
  </si>
  <si>
    <t>Gary Community School Corp</t>
  </si>
  <si>
    <t>Griffith Public Schools</t>
  </si>
  <si>
    <t>School City of Hammond</t>
  </si>
  <si>
    <t>School Town of Highland</t>
  </si>
  <si>
    <t>School City of Hobart</t>
  </si>
  <si>
    <t>School Town of Munster</t>
  </si>
  <si>
    <t>New Prairie United School Corp</t>
  </si>
  <si>
    <t>Tri-Township Cons School Corp</t>
  </si>
  <si>
    <t>Michigan City Area Schools</t>
  </si>
  <si>
    <t>South Central Com School Corp</t>
  </si>
  <si>
    <t>LaPorte Community School Corp</t>
  </si>
  <si>
    <t>North Lawrence Com Schools</t>
  </si>
  <si>
    <t>Mitchell Community Schools</t>
  </si>
  <si>
    <t>South Madison Com Sch Corp</t>
  </si>
  <si>
    <t>Anderson Community School Corp</t>
  </si>
  <si>
    <t>Elwood Community School Corp</t>
  </si>
  <si>
    <t>Franklin Township Com Sch Corp</t>
  </si>
  <si>
    <t>Perry Township Schools</t>
  </si>
  <si>
    <t>Beech Grove City Schools</t>
  </si>
  <si>
    <t>Indianapolis Public Schools</t>
  </si>
  <si>
    <t>School Town of Speedway</t>
  </si>
  <si>
    <t>Culver Community Schools Corp</t>
  </si>
  <si>
    <t>Argos Community Schools</t>
  </si>
  <si>
    <t>Bremen Public Schools</t>
  </si>
  <si>
    <t>Plymouth Community School Corp</t>
  </si>
  <si>
    <t>Triton School Corporation</t>
  </si>
  <si>
    <t>Shoals Community School Corp</t>
  </si>
  <si>
    <t>Loogootee Community Sch Corp</t>
  </si>
  <si>
    <t>Maconaquah School Corp</t>
  </si>
  <si>
    <t>North Miami Community Schools</t>
  </si>
  <si>
    <t>Oak Hill United School Corp</t>
  </si>
  <si>
    <t>Peru Community Schools</t>
  </si>
  <si>
    <t>Richland-Bean Blossom C S C</t>
  </si>
  <si>
    <t>North Montgomery Com Sch Corp</t>
  </si>
  <si>
    <t>South Montgomery Com Sch Corp</t>
  </si>
  <si>
    <t>Monroe-Gregg School District</t>
  </si>
  <si>
    <t>Eminence Community School Corp</t>
  </si>
  <si>
    <t>Mooresville Con School Corp</t>
  </si>
  <si>
    <t>North Newton School Corp</t>
  </si>
  <si>
    <t>South Newton School Corp</t>
  </si>
  <si>
    <t>Central Noble Com School Corp</t>
  </si>
  <si>
    <t>West Noble School Corporation</t>
  </si>
  <si>
    <t>Rising Sun-Ohio Co Com</t>
  </si>
  <si>
    <t>Orleans Community Schools</t>
  </si>
  <si>
    <t>Paoli Community School Corp</t>
  </si>
  <si>
    <t>Springs Valley Com School Corp</t>
  </si>
  <si>
    <t>Spencer-Owen Community Schools</t>
  </si>
  <si>
    <t>Southwest Parke Com Sch Corp</t>
  </si>
  <si>
    <t>Perry Central Com Schools Corp</t>
  </si>
  <si>
    <t>Cannelton City Schools</t>
  </si>
  <si>
    <t>Tell City-Troy Twp School Corp</t>
  </si>
  <si>
    <t>North Central Parke Comm Schl Corp</t>
  </si>
  <si>
    <t>Pike County School Corp</t>
  </si>
  <si>
    <t>Duneland School Corporation</t>
  </si>
  <si>
    <t>East Porter County School Corp</t>
  </si>
  <si>
    <t>Porter Township School Corp</t>
  </si>
  <si>
    <t>Union Township School Corp</t>
  </si>
  <si>
    <t>Portage Township Schools</t>
  </si>
  <si>
    <t>Valparaiso Community Schools</t>
  </si>
  <si>
    <t>West Central School Corp</t>
  </si>
  <si>
    <t>South Putnam Community Schools</t>
  </si>
  <si>
    <t>North Putnam Community Schools</t>
  </si>
  <si>
    <t>Cloverdale Community Schools</t>
  </si>
  <si>
    <t>Union School Corporation</t>
  </si>
  <si>
    <t>Randolph Southern School Corp</t>
  </si>
  <si>
    <t>Monroe Central School Corp</t>
  </si>
  <si>
    <t>Randolph Central School Corp</t>
  </si>
  <si>
    <t>Randolph Eastern School Corp</t>
  </si>
  <si>
    <t>South Ripley Com Sch Corp</t>
  </si>
  <si>
    <t>Jac-Cen-Del Community Sch Corp</t>
  </si>
  <si>
    <t>Milan Community Schools</t>
  </si>
  <si>
    <t>Rush County Schools</t>
  </si>
  <si>
    <t>John Glenn School Corporation</t>
  </si>
  <si>
    <t>School City of Mishawaka</t>
  </si>
  <si>
    <t>Union-North United School Corp</t>
  </si>
  <si>
    <t>Scott County School District 1</t>
  </si>
  <si>
    <t>Scott County School District 2</t>
  </si>
  <si>
    <t>Shelby Eastern Schools</t>
  </si>
  <si>
    <t>Northwestern Con School Corp</t>
  </si>
  <si>
    <t>Southwestern Con Sch Shelby Co</t>
  </si>
  <si>
    <t>Shelbyville Central Schools</t>
  </si>
  <si>
    <t>North Spencer County Sch Corp</t>
  </si>
  <si>
    <t>South Spencer County Sch Corp</t>
  </si>
  <si>
    <t>Oregon-Davis School Corp</t>
  </si>
  <si>
    <t>North Judson-San Pierre Sch Corp</t>
  </si>
  <si>
    <t>Knox Community School Corp</t>
  </si>
  <si>
    <t>Fremont Community Schools</t>
  </si>
  <si>
    <t>Hamilton Community Schools</t>
  </si>
  <si>
    <t>Northeast School Corp</t>
  </si>
  <si>
    <t>Switzerland County School Corp</t>
  </si>
  <si>
    <t>Lafayette School Corporation</t>
  </si>
  <si>
    <t>Tippecanoe School Corp</t>
  </si>
  <si>
    <t>West Lafayette Com School Corp</t>
  </si>
  <si>
    <t>Tri-Central Community Schools</t>
  </si>
  <si>
    <t>Tipton Community School Corp</t>
  </si>
  <si>
    <t>Union Co/Clg Corner Joint Sch Dist</t>
  </si>
  <si>
    <t>North Vermillion Com Sch Corp</t>
  </si>
  <si>
    <t>South Vermillion Com Sch Corp</t>
  </si>
  <si>
    <t>Vigo County School Corp</t>
  </si>
  <si>
    <t>Manchester Community Schools</t>
  </si>
  <si>
    <t>Wabash City Schools</t>
  </si>
  <si>
    <t>Warrick County School Corp</t>
  </si>
  <si>
    <t>Salem Community Schools</t>
  </si>
  <si>
    <t>East Washington School Corp</t>
  </si>
  <si>
    <t>West Washington School Corp</t>
  </si>
  <si>
    <t>Western Wayne Schools</t>
  </si>
  <si>
    <t>Centerville-Abington Com Schs</t>
  </si>
  <si>
    <t>Northeastern Wayne Schools</t>
  </si>
  <si>
    <t>Richmond Community Schools</t>
  </si>
  <si>
    <t>Southern Wells Com Schools</t>
  </si>
  <si>
    <t>North White School Corp</t>
  </si>
  <si>
    <t>Frontier School Corporation</t>
  </si>
  <si>
    <t>Twin Lakes School Corp</t>
  </si>
  <si>
    <t>Smith-Green Community Schools</t>
  </si>
  <si>
    <t>The amount shown above is the amount to be reimbursed for this period.</t>
  </si>
  <si>
    <t>Available Funds</t>
  </si>
  <si>
    <t>Maximum Allowed (LEA+NPS)</t>
  </si>
  <si>
    <t>Other Support Services-Admin: Salary (Cert./Non Cert.)</t>
  </si>
  <si>
    <t>Other Support Services-Admin: Benefits (Cert./Non Cert.)</t>
  </si>
  <si>
    <t>Other Support Services-Admin: Professional Services</t>
  </si>
  <si>
    <t>Other Support Services-Admin: Rentals</t>
  </si>
  <si>
    <t>Other Support Services-Admin: Other Purchased Services</t>
  </si>
  <si>
    <t>Other Support Services-Admin: General Supplies</t>
  </si>
  <si>
    <t>Other Support Services-Admin: Property</t>
  </si>
  <si>
    <t>D545</t>
  </si>
  <si>
    <t>Annuc Cthlc Sch @ Christ the King</t>
  </si>
  <si>
    <t>D570</t>
  </si>
  <si>
    <t>Annunciation Cthlc at Holy Spirit</t>
  </si>
  <si>
    <t>D550</t>
  </si>
  <si>
    <t>Corpus Christi School</t>
  </si>
  <si>
    <t>D485</t>
  </si>
  <si>
    <t>Evansville Christian School</t>
  </si>
  <si>
    <t>Budget Categories</t>
  </si>
  <si>
    <t>Title II-A Nonpublic School(s) Amendment #1</t>
  </si>
  <si>
    <t>Title II-A Public LEA Amendment #1 Worksheet</t>
  </si>
  <si>
    <t>Title II-A Public LEA Amendment #2 Worksheet</t>
  </si>
  <si>
    <r>
      <t xml:space="preserve">Directions: </t>
    </r>
    <r>
      <rPr>
        <b/>
        <i/>
        <sz val="9"/>
        <color rgb="FFFFFF00"/>
        <rFont val="Century Gothic"/>
        <family val="2"/>
      </rPr>
      <t>Please copy and paste all activites from Amendment #1 LEA Activites activity section into the activities section of this sheet.</t>
    </r>
    <r>
      <rPr>
        <b/>
        <sz val="9"/>
        <color theme="0"/>
        <rFont val="Century Gothic"/>
        <family val="2"/>
      </rPr>
      <t xml:space="preserve"> Once that has been completed, you may then revise Activity Descriptions, Budget Category and Total as applicable. </t>
    </r>
  </si>
  <si>
    <t>Title II-A Nonpublic School(s) Amendment #2</t>
  </si>
  <si>
    <r>
      <t xml:space="preserve">Directions: </t>
    </r>
    <r>
      <rPr>
        <b/>
        <i/>
        <sz val="9"/>
        <color rgb="FFFFFF00"/>
        <rFont val="Century Gothic"/>
        <family val="2"/>
      </rPr>
      <t>Please copy and paste all activites from the LEA Activites activity section into the activities section of this sheet.</t>
    </r>
    <r>
      <rPr>
        <b/>
        <sz val="9"/>
        <color theme="0"/>
        <rFont val="Century Gothic"/>
        <family val="2"/>
      </rPr>
      <t xml:space="preserve"> Once that has been completed, you may then revise Activity Descriptions, Budget Category and Total as applicable. </t>
    </r>
  </si>
  <si>
    <t>Title II-A Public LEA Amendment #3 Worksheet</t>
  </si>
  <si>
    <r>
      <t xml:space="preserve">Directions: </t>
    </r>
    <r>
      <rPr>
        <b/>
        <i/>
        <sz val="9"/>
        <color rgb="FFFFFF00"/>
        <rFont val="Century Gothic"/>
        <family val="2"/>
      </rPr>
      <t>Please copy and paste all activites from Amendment #2 LEA Activites activity section into the activities section of this sheet.</t>
    </r>
    <r>
      <rPr>
        <b/>
        <sz val="9"/>
        <color theme="0"/>
        <rFont val="Century Gothic"/>
        <family val="2"/>
      </rPr>
      <t xml:space="preserve"> Once that has been completed, you may then revise Activity Descriptions, Budget Category and Total as applicable. </t>
    </r>
  </si>
  <si>
    <t>Title II-A Nonpublic School(s) Amendment #3</t>
  </si>
  <si>
    <t>Title II-A Amendment #3 Budget</t>
  </si>
  <si>
    <t>Title II-A Amendment #2 Budget</t>
  </si>
  <si>
    <t>Title II-A Amendment #1 Budget</t>
  </si>
  <si>
    <t>District Total (not including nonpublic schools)</t>
  </si>
  <si>
    <t>NPS SCHOOL CODE</t>
  </si>
  <si>
    <t>NAME OF NON-PUBLIC SCHOOL</t>
  </si>
  <si>
    <t>A030</t>
  </si>
  <si>
    <t>Blue Creek Amish School</t>
  </si>
  <si>
    <t>D006</t>
  </si>
  <si>
    <t>Canope School</t>
  </si>
  <si>
    <t>A032</t>
  </si>
  <si>
    <t>Clearview Amish School</t>
  </si>
  <si>
    <t>D033</t>
  </si>
  <si>
    <t>Cottonwood Lane School</t>
  </si>
  <si>
    <t>D031</t>
  </si>
  <si>
    <t>Country Corner</t>
  </si>
  <si>
    <t>D034</t>
  </si>
  <si>
    <t>Country Valley School</t>
  </si>
  <si>
    <t>A002</t>
  </si>
  <si>
    <t>Country View School</t>
  </si>
  <si>
    <t>A047</t>
  </si>
  <si>
    <t>Countryside School</t>
  </si>
  <si>
    <t>D003</t>
  </si>
  <si>
    <t>Curve Creek</t>
  </si>
  <si>
    <t>A017</t>
  </si>
  <si>
    <t>Fairview Amish School</t>
  </si>
  <si>
    <t>A008</t>
  </si>
  <si>
    <t>Maple Lane School</t>
  </si>
  <si>
    <t>D898</t>
  </si>
  <si>
    <t>North Lincoln School</t>
  </si>
  <si>
    <t>A025</t>
  </si>
  <si>
    <t>Oak Grove Amish School</t>
  </si>
  <si>
    <t>A022</t>
  </si>
  <si>
    <t>Pleasant Mills School</t>
  </si>
  <si>
    <t>A015</t>
  </si>
  <si>
    <t>Pleasant Valley Amish School</t>
  </si>
  <si>
    <t>A003</t>
  </si>
  <si>
    <t>Salem School</t>
  </si>
  <si>
    <t>A016</t>
  </si>
  <si>
    <t>Shady Lane School</t>
  </si>
  <si>
    <t>A023</t>
  </si>
  <si>
    <t>Springhill School</t>
  </si>
  <si>
    <t>D004</t>
  </si>
  <si>
    <t>Swiss Meadow School</t>
  </si>
  <si>
    <t>A020</t>
  </si>
  <si>
    <t>Swiss Valley Amish School</t>
  </si>
  <si>
    <t>A041</t>
  </si>
  <si>
    <t>Timber Valley School</t>
  </si>
  <si>
    <t>A056</t>
  </si>
  <si>
    <t>Whispering Brook</t>
  </si>
  <si>
    <t>A010</t>
  </si>
  <si>
    <t>Winchester Amish School</t>
  </si>
  <si>
    <t>A011</t>
  </si>
  <si>
    <t>Rainbow Valley</t>
  </si>
  <si>
    <t>A035</t>
  </si>
  <si>
    <t>Saint Joseph School</t>
  </si>
  <si>
    <t>A040</t>
  </si>
  <si>
    <t>St Peter Immanuel Lutheran School</t>
  </si>
  <si>
    <t>A045</t>
  </si>
  <si>
    <t>Wyneken Memorial Lutheran School</t>
  </si>
  <si>
    <t>A050</t>
  </si>
  <si>
    <t>Zion Lutheran School</t>
  </si>
  <si>
    <t>B631</t>
  </si>
  <si>
    <t>Aspey Creek School</t>
  </si>
  <si>
    <t>A033</t>
  </si>
  <si>
    <t>Brookside Amish School</t>
  </si>
  <si>
    <t>A096</t>
  </si>
  <si>
    <t>Country Lane School</t>
  </si>
  <si>
    <t>A079</t>
  </si>
  <si>
    <t>Engle Creek Amish School</t>
  </si>
  <si>
    <t>B481</t>
  </si>
  <si>
    <t>Hartford Valley School</t>
  </si>
  <si>
    <t>A081</t>
  </si>
  <si>
    <t>Hickory Grove School</t>
  </si>
  <si>
    <t>A012</t>
  </si>
  <si>
    <t>Hidden Valley School</t>
  </si>
  <si>
    <t>A086</t>
  </si>
  <si>
    <t>Jefferson Amish School</t>
  </si>
  <si>
    <t>A063</t>
  </si>
  <si>
    <t>Limberlost Creek Amish</t>
  </si>
  <si>
    <t>A072</t>
  </si>
  <si>
    <t>Lincoln School</t>
  </si>
  <si>
    <t>A092</t>
  </si>
  <si>
    <t>Lone Pine School</t>
  </si>
  <si>
    <t>A088</t>
  </si>
  <si>
    <t>Maple Leaf Amish School</t>
  </si>
  <si>
    <t>B637</t>
  </si>
  <si>
    <t>Mount Carmel School</t>
  </si>
  <si>
    <t>A071</t>
  </si>
  <si>
    <t>Prairie School</t>
  </si>
  <si>
    <t>A089</t>
  </si>
  <si>
    <t>South Adams Parochial</t>
  </si>
  <si>
    <t>A075</t>
  </si>
  <si>
    <t>Sunnyside Amish School</t>
  </si>
  <si>
    <t>A094</t>
  </si>
  <si>
    <t>Twin Oak School</t>
  </si>
  <si>
    <t>A065</t>
  </si>
  <si>
    <t>Wabash Valley Amish School</t>
  </si>
  <si>
    <t>A087</t>
  </si>
  <si>
    <t>West Wabash School</t>
  </si>
  <si>
    <t>A091</t>
  </si>
  <si>
    <t>White Oak Ridge</t>
  </si>
  <si>
    <t>A260</t>
  </si>
  <si>
    <t>Aboite Christian School</t>
  </si>
  <si>
    <t>A220</t>
  </si>
  <si>
    <t>Emmaus Lutheran School</t>
  </si>
  <si>
    <t>B424</t>
  </si>
  <si>
    <t>Roanoke Baptist School</t>
  </si>
  <si>
    <t>A104</t>
  </si>
  <si>
    <t>Saint Elizabeth Seton Catholic Sch</t>
  </si>
  <si>
    <t>A184</t>
  </si>
  <si>
    <t>Heritage Mission</t>
  </si>
  <si>
    <t>A100</t>
  </si>
  <si>
    <t>Pine Hills Learning Place</t>
  </si>
  <si>
    <t>D918</t>
  </si>
  <si>
    <t>Alyssum Montessori School</t>
  </si>
  <si>
    <t>A248</t>
  </si>
  <si>
    <t>Ascension Lutheran School</t>
  </si>
  <si>
    <t>A120</t>
  </si>
  <si>
    <t>Bishop Dwenger High School</t>
  </si>
  <si>
    <t>A125</t>
  </si>
  <si>
    <t>Bishop Luers High School</t>
  </si>
  <si>
    <t>A172</t>
  </si>
  <si>
    <t>Blackhawk Christian Elementary Sch</t>
  </si>
  <si>
    <t>A170</t>
  </si>
  <si>
    <t>Blackhawk Christian Mdl/High Sch</t>
  </si>
  <si>
    <t>A285</t>
  </si>
  <si>
    <t>Canterbury School</t>
  </si>
  <si>
    <t>A284</t>
  </si>
  <si>
    <t>Canterbury School (PK-08)</t>
  </si>
  <si>
    <t>A249</t>
  </si>
  <si>
    <t>Central Christian School</t>
  </si>
  <si>
    <t>A195</t>
  </si>
  <si>
    <t>Concordia Lutheran High School</t>
  </si>
  <si>
    <t>A205</t>
  </si>
  <si>
    <t>Concordia Lutheran School</t>
  </si>
  <si>
    <t>A236</t>
  </si>
  <si>
    <t>Cornerstone College Prep Sch</t>
  </si>
  <si>
    <t>A275</t>
  </si>
  <si>
    <t>Crossroad Child &amp; Family Services</t>
  </si>
  <si>
    <t>A215</t>
  </si>
  <si>
    <t>Emmanuel St Michael Lutheran Sch</t>
  </si>
  <si>
    <t>A225</t>
  </si>
  <si>
    <t>Holy Cross Lutheran School</t>
  </si>
  <si>
    <t>A307</t>
  </si>
  <si>
    <t>Horizon Christian Academy</t>
  </si>
  <si>
    <t>D914</t>
  </si>
  <si>
    <t>International Leadership Schools</t>
  </si>
  <si>
    <t>A235</t>
  </si>
  <si>
    <t>Lutheran South Unity School</t>
  </si>
  <si>
    <t>A130</t>
  </si>
  <si>
    <t>Most Precious Blood School</t>
  </si>
  <si>
    <t>A106</t>
  </si>
  <si>
    <t>Our Lady School</t>
  </si>
  <si>
    <t>A093</t>
  </si>
  <si>
    <t>Peace Montessori</t>
  </si>
  <si>
    <t>A135</t>
  </si>
  <si>
    <t>Queen Of Angels School</t>
  </si>
  <si>
    <t>A270</t>
  </si>
  <si>
    <t>Saint Aloysius Catholic School</t>
  </si>
  <si>
    <t>A145</t>
  </si>
  <si>
    <t>Saint Charles Borromeo School</t>
  </si>
  <si>
    <t>A150</t>
  </si>
  <si>
    <t>Saint John The Baptist School</t>
  </si>
  <si>
    <t>A155</t>
  </si>
  <si>
    <t>Saint Joseph Catholic School</t>
  </si>
  <si>
    <t>A160</t>
  </si>
  <si>
    <t>Saint Jude Elementary School</t>
  </si>
  <si>
    <t>A245</t>
  </si>
  <si>
    <t>Saint Paul Lutheran School</t>
  </si>
  <si>
    <t>A250</t>
  </si>
  <si>
    <t>Saint Peter's Lutheran School</t>
  </si>
  <si>
    <t>A175</t>
  </si>
  <si>
    <t>Saint Therese School</t>
  </si>
  <si>
    <t>A180</t>
  </si>
  <si>
    <t>Saint Vincent DePaul School</t>
  </si>
  <si>
    <t>A193</t>
  </si>
  <si>
    <t>Southwest Montessori Academy</t>
  </si>
  <si>
    <t>A200</t>
  </si>
  <si>
    <t>Suburban Bethlehem Lutheran School</t>
  </si>
  <si>
    <t>A377</t>
  </si>
  <si>
    <t>Black Creek Amish School</t>
  </si>
  <si>
    <t>C821</t>
  </si>
  <si>
    <t>Campbell</t>
  </si>
  <si>
    <t>D036</t>
  </si>
  <si>
    <t>Campbell School</t>
  </si>
  <si>
    <t>A390</t>
  </si>
  <si>
    <t>Cedar Creek Amish School</t>
  </si>
  <si>
    <t>A370</t>
  </si>
  <si>
    <t>Central Lutheran School</t>
  </si>
  <si>
    <t>A325</t>
  </si>
  <si>
    <t>Cuba Mennonite School</t>
  </si>
  <si>
    <t>A330</t>
  </si>
  <si>
    <t>Fellowship Haven Bible School</t>
  </si>
  <si>
    <t>A352</t>
  </si>
  <si>
    <t>Gateway Woods School</t>
  </si>
  <si>
    <t>A335</t>
  </si>
  <si>
    <t>Harlan Christian School</t>
  </si>
  <si>
    <t>A095</t>
  </si>
  <si>
    <t>Maple Lane Amish School</t>
  </si>
  <si>
    <t>A103</t>
  </si>
  <si>
    <t>Maumee Valley School</t>
  </si>
  <si>
    <t>A380</t>
  </si>
  <si>
    <t>Milan Center Amish School</t>
  </si>
  <si>
    <t>A327</t>
  </si>
  <si>
    <t>Northeast Spencerville</t>
  </si>
  <si>
    <t>A361</t>
  </si>
  <si>
    <t>Rupert Ridge School</t>
  </si>
  <si>
    <t>A355</t>
  </si>
  <si>
    <t xml:space="preserve">Saint John The Baptist Catholic </t>
  </si>
  <si>
    <t>A360</t>
  </si>
  <si>
    <t>Saint Louis Besancon Catholic Sch</t>
  </si>
  <si>
    <t>A340</t>
  </si>
  <si>
    <t>Saint Rose of Lima School</t>
  </si>
  <si>
    <t>A385</t>
  </si>
  <si>
    <t>Springfield Center School</t>
  </si>
  <si>
    <t>A365</t>
  </si>
  <si>
    <t>St John-Emmanuel Lutheran School</t>
  </si>
  <si>
    <t>A350</t>
  </si>
  <si>
    <t>St Joseph Hessen Cassel Cath Sch</t>
  </si>
  <si>
    <t>A388</t>
  </si>
  <si>
    <t>Westridge Amish School</t>
  </si>
  <si>
    <t>A375</t>
  </si>
  <si>
    <t>Woodburn Lutheran School</t>
  </si>
  <si>
    <t>A415</t>
  </si>
  <si>
    <t>ABC - Stewart School</t>
  </si>
  <si>
    <t>A465</t>
  </si>
  <si>
    <t>Bethel Holiness Christian School</t>
  </si>
  <si>
    <t>A450</t>
  </si>
  <si>
    <t>Columbus Christian School Inc</t>
  </si>
  <si>
    <t>A462</t>
  </si>
  <si>
    <t>Midway Christian Academy</t>
  </si>
  <si>
    <t>A405</t>
  </si>
  <si>
    <t>North Star Montessori School</t>
  </si>
  <si>
    <t>A435</t>
  </si>
  <si>
    <t>Saint Peter Lutheran School</t>
  </si>
  <si>
    <t>A425</t>
  </si>
  <si>
    <t>St Bartholomew School</t>
  </si>
  <si>
    <t>A423</t>
  </si>
  <si>
    <t>St Paul Lutheran Preschool</t>
  </si>
  <si>
    <t>A430</t>
  </si>
  <si>
    <t>White Creek Lutheran School</t>
  </si>
  <si>
    <t>A470</t>
  </si>
  <si>
    <t>Sacred Heart School</t>
  </si>
  <si>
    <t>D919</t>
  </si>
  <si>
    <t>Bella Natura Reggio</t>
  </si>
  <si>
    <t>A473</t>
  </si>
  <si>
    <t>Trinity Christian School</t>
  </si>
  <si>
    <t>C484</t>
  </si>
  <si>
    <t>Interactive Academy Inc</t>
  </si>
  <si>
    <t>C718</t>
  </si>
  <si>
    <t>Central Indiana Teen Challenge</t>
  </si>
  <si>
    <t>A479</t>
  </si>
  <si>
    <t>ClearView Education Inc</t>
  </si>
  <si>
    <t>A480</t>
  </si>
  <si>
    <t>James E Davis School</t>
  </si>
  <si>
    <t>C375</t>
  </si>
  <si>
    <t>Traders Point Christian Schools</t>
  </si>
  <si>
    <t>A550</t>
  </si>
  <si>
    <t>St John Paul II Catholic School</t>
  </si>
  <si>
    <t>A560</t>
  </si>
  <si>
    <t xml:space="preserve">Saint Anthony of Padua </t>
  </si>
  <si>
    <t>D001</t>
  </si>
  <si>
    <t>Maple Valley</t>
  </si>
  <si>
    <t>A575</t>
  </si>
  <si>
    <t>Our Lady Of Providence High School</t>
  </si>
  <si>
    <t>A570</t>
  </si>
  <si>
    <t>A565</t>
  </si>
  <si>
    <t>Saint Michaels School</t>
  </si>
  <si>
    <t>A594</t>
  </si>
  <si>
    <t>Cornerstone Christian Academy</t>
  </si>
  <si>
    <t>A596</t>
  </si>
  <si>
    <t>Good Tidings Academy</t>
  </si>
  <si>
    <t>A606</t>
  </si>
  <si>
    <t>Frankfort Covenant Academy</t>
  </si>
  <si>
    <t>A602</t>
  </si>
  <si>
    <t>Nouthesia Christian School</t>
  </si>
  <si>
    <t>A610</t>
  </si>
  <si>
    <t>New Hope School</t>
  </si>
  <si>
    <t>D893</t>
  </si>
  <si>
    <t>Clearview School</t>
  </si>
  <si>
    <t>A614</t>
  </si>
  <si>
    <t>Clements Amish School</t>
  </si>
  <si>
    <t>A038</t>
  </si>
  <si>
    <t>Flat Creek School</t>
  </si>
  <si>
    <t>A615</t>
  </si>
  <si>
    <t>Green Acre Amish School</t>
  </si>
  <si>
    <t>A620</t>
  </si>
  <si>
    <t>Parson Amish School</t>
  </si>
  <si>
    <t>A651</t>
  </si>
  <si>
    <t>Shady Acres Amish School</t>
  </si>
  <si>
    <t>A625</t>
  </si>
  <si>
    <t>South East Center Amish School</t>
  </si>
  <si>
    <t>A639</t>
  </si>
  <si>
    <t>Cedar Grove School</t>
  </si>
  <si>
    <t>A637</t>
  </si>
  <si>
    <t>A635</t>
  </si>
  <si>
    <t>Hickory Ridge Amish School</t>
  </si>
  <si>
    <t>A645</t>
  </si>
  <si>
    <t>North Bogard Amish School</t>
  </si>
  <si>
    <t>A647</t>
  </si>
  <si>
    <t>Oak Ridge School</t>
  </si>
  <si>
    <t>A633</t>
  </si>
  <si>
    <t>Prairie Creek</t>
  </si>
  <si>
    <t>A632</t>
  </si>
  <si>
    <t>Raglesville School</t>
  </si>
  <si>
    <t>A650</t>
  </si>
  <si>
    <t>South Bogard Amish School</t>
  </si>
  <si>
    <t>A641</t>
  </si>
  <si>
    <t>Sunny Side School</t>
  </si>
  <si>
    <t>A631</t>
  </si>
  <si>
    <t>West Bogard School</t>
  </si>
  <si>
    <t>A657</t>
  </si>
  <si>
    <t>Cornerstone Christian School</t>
  </si>
  <si>
    <t>A665</t>
  </si>
  <si>
    <t>Washington Catholic Elementary Sch</t>
  </si>
  <si>
    <t>A660</t>
  </si>
  <si>
    <t>Washington Catholic Mid/High Sch</t>
  </si>
  <si>
    <t>A680</t>
  </si>
  <si>
    <t>Saint Nicholas School</t>
  </si>
  <si>
    <t>A695</t>
  </si>
  <si>
    <t>Saint John Ev Lutheran School</t>
  </si>
  <si>
    <t>A690</t>
  </si>
  <si>
    <t>Saint Mary School</t>
  </si>
  <si>
    <t>A700</t>
  </si>
  <si>
    <t>Saint Lawrence School</t>
  </si>
  <si>
    <t>A725</t>
  </si>
  <si>
    <t>Riverside Amish School</t>
  </si>
  <si>
    <t>A724</t>
  </si>
  <si>
    <t>Good Shepherd Christian Academy</t>
  </si>
  <si>
    <t>A730</t>
  </si>
  <si>
    <t>Saint Mary's School</t>
  </si>
  <si>
    <t>A735</t>
  </si>
  <si>
    <t>A740</t>
  </si>
  <si>
    <t>Lakewood Park Christian School</t>
  </si>
  <si>
    <t>A746</t>
  </si>
  <si>
    <t>Heritage Hall Christian School</t>
  </si>
  <si>
    <t>A832</t>
  </si>
  <si>
    <t>KinderCare Learning Center</t>
  </si>
  <si>
    <t>A790</t>
  </si>
  <si>
    <t>A795</t>
  </si>
  <si>
    <t>A787</t>
  </si>
  <si>
    <t>Temple Christian Academy</t>
  </si>
  <si>
    <t>A871</t>
  </si>
  <si>
    <t>Holy Trinity Catholic School</t>
  </si>
  <si>
    <t>A866</t>
  </si>
  <si>
    <t>Jasper Christian Academy</t>
  </si>
  <si>
    <t>A878</t>
  </si>
  <si>
    <t>Clinton Center School</t>
  </si>
  <si>
    <t>A875</t>
  </si>
  <si>
    <t>Clinton Christian School</t>
  </si>
  <si>
    <t>A891</t>
  </si>
  <si>
    <t>Cloverleaf School</t>
  </si>
  <si>
    <t>A915</t>
  </si>
  <si>
    <t>A899</t>
  </si>
  <si>
    <t>Country Meadow</t>
  </si>
  <si>
    <t>A882</t>
  </si>
  <si>
    <t>Eden Meadow School</t>
  </si>
  <si>
    <t>A890</t>
  </si>
  <si>
    <t>Hillside Amish School</t>
  </si>
  <si>
    <t>A884</t>
  </si>
  <si>
    <t>Peaceful Woods</t>
  </si>
  <si>
    <t>A019</t>
  </si>
  <si>
    <t xml:space="preserve">Powerline School </t>
  </si>
  <si>
    <t>A888</t>
  </si>
  <si>
    <t>Railside</t>
  </si>
  <si>
    <t>A906</t>
  </si>
  <si>
    <t>Stoney Creek School</t>
  </si>
  <si>
    <t>A889</t>
  </si>
  <si>
    <t>Timberview School</t>
  </si>
  <si>
    <t>A881</t>
  </si>
  <si>
    <t>Woodlawn Christian School</t>
  </si>
  <si>
    <t>A990</t>
  </si>
  <si>
    <t>Elkhart Christian Academy</t>
  </si>
  <si>
    <t>B131</t>
  </si>
  <si>
    <t>Genai Excellence Academy</t>
  </si>
  <si>
    <t>B009</t>
  </si>
  <si>
    <t>The Crossing Educational Center</t>
  </si>
  <si>
    <t>D002</t>
  </si>
  <si>
    <t>Birdsong Echo</t>
  </si>
  <si>
    <t>A908</t>
  </si>
  <si>
    <t>Clay Meadow Amish</t>
  </si>
  <si>
    <t>A917</t>
  </si>
  <si>
    <t>Crystal Springs School</t>
  </si>
  <si>
    <t>A900</t>
  </si>
  <si>
    <t>Eight Square Amish School</t>
  </si>
  <si>
    <t>A909</t>
  </si>
  <si>
    <t>Forest Grove School</t>
  </si>
  <si>
    <t>A912</t>
  </si>
  <si>
    <t>Pine Creek Amish School</t>
  </si>
  <si>
    <t>A905</t>
  </si>
  <si>
    <t>Plainview Amish School</t>
  </si>
  <si>
    <t>A902</t>
  </si>
  <si>
    <t>Pumpkin Vine School</t>
  </si>
  <si>
    <t>A918</t>
  </si>
  <si>
    <t>Rolling Acres School</t>
  </si>
  <si>
    <t>A976</t>
  </si>
  <si>
    <t>Singing Hills School</t>
  </si>
  <si>
    <t>A916</t>
  </si>
  <si>
    <t>Spring Valley</t>
  </si>
  <si>
    <t>B627</t>
  </si>
  <si>
    <t>Triple Bend School</t>
  </si>
  <si>
    <t>A903</t>
  </si>
  <si>
    <t>West Edge School</t>
  </si>
  <si>
    <t>A944</t>
  </si>
  <si>
    <t>Bashor Children's Home</t>
  </si>
  <si>
    <t>A956</t>
  </si>
  <si>
    <t>Corner View School</t>
  </si>
  <si>
    <t>D011</t>
  </si>
  <si>
    <t>Country Echos</t>
  </si>
  <si>
    <t>A928</t>
  </si>
  <si>
    <t>East Locke School</t>
  </si>
  <si>
    <t>A925</t>
  </si>
  <si>
    <t>Garden Spot School</t>
  </si>
  <si>
    <t>A935</t>
  </si>
  <si>
    <t>Harrison Christian School</t>
  </si>
  <si>
    <t>A964</t>
  </si>
  <si>
    <t>Hepton Amish School</t>
  </si>
  <si>
    <t>A958</t>
  </si>
  <si>
    <t>Morning Star School</t>
  </si>
  <si>
    <t>A930</t>
  </si>
  <si>
    <t>Old Brethren Christian School</t>
  </si>
  <si>
    <t>A957</t>
  </si>
  <si>
    <t>Pine View</t>
  </si>
  <si>
    <t>A955</t>
  </si>
  <si>
    <t>Pleasant Valley School</t>
  </si>
  <si>
    <t>A960</t>
  </si>
  <si>
    <t>Sunny Meadow Amish School</t>
  </si>
  <si>
    <t>A965</t>
  </si>
  <si>
    <t>United Christian School</t>
  </si>
  <si>
    <t>A967</t>
  </si>
  <si>
    <t>Wabash School</t>
  </si>
  <si>
    <t>A950</t>
  </si>
  <si>
    <t>Weldy Amish School</t>
  </si>
  <si>
    <t>A963</t>
  </si>
  <si>
    <t>West Union Center School</t>
  </si>
  <si>
    <t>A959</t>
  </si>
  <si>
    <t>Willow Springs School</t>
  </si>
  <si>
    <t>A978</t>
  </si>
  <si>
    <t>Cornerstone Christian Montessori</t>
  </si>
  <si>
    <t>A988</t>
  </si>
  <si>
    <t>Elkhart Adventist Christian School</t>
  </si>
  <si>
    <t>A977</t>
  </si>
  <si>
    <t>Montessori School of Elkhart</t>
  </si>
  <si>
    <t>A975</t>
  </si>
  <si>
    <t>St Thomas The Apostle School</t>
  </si>
  <si>
    <t>A980</t>
  </si>
  <si>
    <t>St Vincent de Paul School</t>
  </si>
  <si>
    <t>A985</t>
  </si>
  <si>
    <t>Trinity Lutheran School</t>
  </si>
  <si>
    <t>B015</t>
  </si>
  <si>
    <t>Bethany Christian School</t>
  </si>
  <si>
    <t>B020</t>
  </si>
  <si>
    <t>St John Evangelist School</t>
  </si>
  <si>
    <t>A029</t>
  </si>
  <si>
    <t>Alpine School</t>
  </si>
  <si>
    <t>B038</t>
  </si>
  <si>
    <t>Community Christian School-Conn</t>
  </si>
  <si>
    <t>B037</t>
  </si>
  <si>
    <t>Faith Christian School</t>
  </si>
  <si>
    <t>B035</t>
  </si>
  <si>
    <t>Saint Gabriel Catholic School</t>
  </si>
  <si>
    <t>B045</t>
  </si>
  <si>
    <t>Christian Academy of Indiana</t>
  </si>
  <si>
    <t>B062</t>
  </si>
  <si>
    <t>Grace Lutheran Kdg &amp; Preschool</t>
  </si>
  <si>
    <t>B050</t>
  </si>
  <si>
    <t>Holy Family School</t>
  </si>
  <si>
    <t>B060</t>
  </si>
  <si>
    <t>Our Lady Of Perpetual School</t>
  </si>
  <si>
    <t>B067</t>
  </si>
  <si>
    <t>St Mary of-the-Knobs Catholic Sch</t>
  </si>
  <si>
    <t>B085</t>
  </si>
  <si>
    <t>Covington Christian School</t>
  </si>
  <si>
    <t>B095</t>
  </si>
  <si>
    <t>Saint Michael School</t>
  </si>
  <si>
    <t>B104</t>
  </si>
  <si>
    <t>Pleasant Hill</t>
  </si>
  <si>
    <t>B128</t>
  </si>
  <si>
    <t>Harmony Grove Schools Inc</t>
  </si>
  <si>
    <t>B106</t>
  </si>
  <si>
    <t>Bethel Christian School</t>
  </si>
  <si>
    <t>B105</t>
  </si>
  <si>
    <t>St Joseph School</t>
  </si>
  <si>
    <t>B115</t>
  </si>
  <si>
    <t>Holy Cross School</t>
  </si>
  <si>
    <t>B120</t>
  </si>
  <si>
    <t>Saint James School</t>
  </si>
  <si>
    <t>B125</t>
  </si>
  <si>
    <t>Saints Peter &amp; Paul School</t>
  </si>
  <si>
    <t>B136</t>
  </si>
  <si>
    <t>The King's Academy</t>
  </si>
  <si>
    <t>B118</t>
  </si>
  <si>
    <t>Kinwell Academy Inc</t>
  </si>
  <si>
    <t>B145</t>
  </si>
  <si>
    <t>Lakeview Christian School Inc</t>
  </si>
  <si>
    <t>B167</t>
  </si>
  <si>
    <t>Paddock View Residential Center</t>
  </si>
  <si>
    <t>B155</t>
  </si>
  <si>
    <t>Saint Paul Parish School</t>
  </si>
  <si>
    <t>B185</t>
  </si>
  <si>
    <t>Blessed Hope Baptist School</t>
  </si>
  <si>
    <t>B180</t>
  </si>
  <si>
    <t>Calvary Baptist Church School</t>
  </si>
  <si>
    <t>B253</t>
  </si>
  <si>
    <t>Community Montessori School</t>
  </si>
  <si>
    <t>B160</t>
  </si>
  <si>
    <t>Eman Schools</t>
  </si>
  <si>
    <t>B161</t>
  </si>
  <si>
    <t>Fishers Christian Academy</t>
  </si>
  <si>
    <t>D921</t>
  </si>
  <si>
    <t>LeafSpring School</t>
  </si>
  <si>
    <t>B227</t>
  </si>
  <si>
    <t>Saint Louis de Montfort School</t>
  </si>
  <si>
    <t>B195</t>
  </si>
  <si>
    <t>Cicero Adventist School</t>
  </si>
  <si>
    <t>B190</t>
  </si>
  <si>
    <t>Indiana Academy</t>
  </si>
  <si>
    <t>A018</t>
  </si>
  <si>
    <t>Children's Montessori House LLC</t>
  </si>
  <si>
    <t>B212</t>
  </si>
  <si>
    <t>Montessori School of Westfield</t>
  </si>
  <si>
    <t>B216</t>
  </si>
  <si>
    <t>Saint Maria Goretti School</t>
  </si>
  <si>
    <t>B205</t>
  </si>
  <si>
    <t>Union Bible College &amp; Academy</t>
  </si>
  <si>
    <t>B206</t>
  </si>
  <si>
    <t>Sheridan Christian Academy</t>
  </si>
  <si>
    <t>B214</t>
  </si>
  <si>
    <t>Carmel Montessori School</t>
  </si>
  <si>
    <t>B211</t>
  </si>
  <si>
    <t>Coram Deo Academy</t>
  </si>
  <si>
    <t>B239</t>
  </si>
  <si>
    <t>Goddard School</t>
  </si>
  <si>
    <t>B213</t>
  </si>
  <si>
    <t>Indiana Montessori Academy</t>
  </si>
  <si>
    <t>A181</t>
  </si>
  <si>
    <t>International Montessori School</t>
  </si>
  <si>
    <t>B218</t>
  </si>
  <si>
    <t>Midwest Academy of Indiana</t>
  </si>
  <si>
    <t>B215</t>
  </si>
  <si>
    <t>Our Lady Of Mt Carmel School</t>
  </si>
  <si>
    <t>B220</t>
  </si>
  <si>
    <t>Peter Rabbit Nursery School</t>
  </si>
  <si>
    <t>B219</t>
  </si>
  <si>
    <t>Springwood Academy</t>
  </si>
  <si>
    <t>B233</t>
  </si>
  <si>
    <t>Transitions Academy</t>
  </si>
  <si>
    <t>B241</t>
  </si>
  <si>
    <t>University High School of Indiana</t>
  </si>
  <si>
    <t>B249</t>
  </si>
  <si>
    <t>Guerin Catholic High School</t>
  </si>
  <si>
    <t>B248</t>
  </si>
  <si>
    <t>Legacy Christian School</t>
  </si>
  <si>
    <t>B246</t>
  </si>
  <si>
    <t>Our Lady of Grace School</t>
  </si>
  <si>
    <t>A026</t>
  </si>
  <si>
    <t>Little Learners</t>
  </si>
  <si>
    <t>B262</t>
  </si>
  <si>
    <t>Montessori Science Academy</t>
  </si>
  <si>
    <t>B260</t>
  </si>
  <si>
    <t>B265</t>
  </si>
  <si>
    <t>B275</t>
  </si>
  <si>
    <t>Saint John Lutheran School</t>
  </si>
  <si>
    <t>B280</t>
  </si>
  <si>
    <t>B284</t>
  </si>
  <si>
    <t>Shiloh Holiness Christian School</t>
  </si>
  <si>
    <t>B290</t>
  </si>
  <si>
    <t>Bethesda Christian School</t>
  </si>
  <si>
    <t>B285</t>
  </si>
  <si>
    <t>Saint Malachy School</t>
  </si>
  <si>
    <t>B295</t>
  </si>
  <si>
    <t>Kingsway Christian School</t>
  </si>
  <si>
    <t>C512</t>
  </si>
  <si>
    <t>Our Shepherd Lutheran School</t>
  </si>
  <si>
    <t>B300</t>
  </si>
  <si>
    <t>Saint Susanna School</t>
  </si>
  <si>
    <t>B302</t>
  </si>
  <si>
    <t>Universal School of Plainfield</t>
  </si>
  <si>
    <t>B221</t>
  </si>
  <si>
    <t>Mooreland School</t>
  </si>
  <si>
    <t>B345</t>
  </si>
  <si>
    <t>Agape Learning Center</t>
  </si>
  <si>
    <t>B350</t>
  </si>
  <si>
    <t>Bethany Fellowship School</t>
  </si>
  <si>
    <t>B360</t>
  </si>
  <si>
    <t>Millerview Amish School</t>
  </si>
  <si>
    <t>B395</t>
  </si>
  <si>
    <t>Sts Joan of Arc &amp; Patrick School</t>
  </si>
  <si>
    <t>B378</t>
  </si>
  <si>
    <t>Victory Christian Academy</t>
  </si>
  <si>
    <t>B398</t>
  </si>
  <si>
    <t>Acacia Academy Inc</t>
  </si>
  <si>
    <t>B362</t>
  </si>
  <si>
    <t>Agape Garden Montessori School</t>
  </si>
  <si>
    <t>B369</t>
  </si>
  <si>
    <t>Christian Heritage Academy</t>
  </si>
  <si>
    <t>B382</t>
  </si>
  <si>
    <t>F.D. Reese Christian Academy</t>
  </si>
  <si>
    <t>B367</t>
  </si>
  <si>
    <t>Redeemer Lutheran School</t>
  </si>
  <si>
    <t>B364</t>
  </si>
  <si>
    <t>The Children's Christian Academy</t>
  </si>
  <si>
    <t>B407</t>
  </si>
  <si>
    <t>The Children's Garden Inc</t>
  </si>
  <si>
    <t>B426</t>
  </si>
  <si>
    <t>Christian Life Tabernacle</t>
  </si>
  <si>
    <t>B418</t>
  </si>
  <si>
    <t>Huntington Catholic School</t>
  </si>
  <si>
    <t>B445</t>
  </si>
  <si>
    <t>Immanuel Lutheran School</t>
  </si>
  <si>
    <t>B456</t>
  </si>
  <si>
    <t>Liberty Christian Academy</t>
  </si>
  <si>
    <t>B440</t>
  </si>
  <si>
    <t>Saint Ambrose School</t>
  </si>
  <si>
    <t>B450</t>
  </si>
  <si>
    <t>B455</t>
  </si>
  <si>
    <t xml:space="preserve">Sandy Creek Christian Academy </t>
  </si>
  <si>
    <t>B452</t>
  </si>
  <si>
    <t>Trinity Lutheran High School</t>
  </si>
  <si>
    <t>B459</t>
  </si>
  <si>
    <t>B465</t>
  </si>
  <si>
    <t>Lutheran Central School</t>
  </si>
  <si>
    <t>B469</t>
  </si>
  <si>
    <t>Covenant Christian High School</t>
  </si>
  <si>
    <t>B470</t>
  </si>
  <si>
    <t>DeMotte Christian School</t>
  </si>
  <si>
    <t>B475</t>
  </si>
  <si>
    <t>Saint Augustine School</t>
  </si>
  <si>
    <t>B474</t>
  </si>
  <si>
    <t>Bearcreek Parochial School</t>
  </si>
  <si>
    <t>B479</t>
  </si>
  <si>
    <t>Jackson Twp Amish School</t>
  </si>
  <si>
    <t>B483</t>
  </si>
  <si>
    <t>Jay County Christian Academy</t>
  </si>
  <si>
    <t>B476</t>
  </si>
  <si>
    <t>Jay Creek School</t>
  </si>
  <si>
    <t>B482</t>
  </si>
  <si>
    <t>Loblolly School</t>
  </si>
  <si>
    <t>B484</t>
  </si>
  <si>
    <t>Sunny Meadow</t>
  </si>
  <si>
    <t>B493</t>
  </si>
  <si>
    <t>Christian Academy of Madison</t>
  </si>
  <si>
    <t>D008</t>
  </si>
  <si>
    <t>A039</t>
  </si>
  <si>
    <t xml:space="preserve">Maple Lane School </t>
  </si>
  <si>
    <t>B510</t>
  </si>
  <si>
    <t>Pope John XXIII Elementary School</t>
  </si>
  <si>
    <t>B505</t>
  </si>
  <si>
    <t>Shawe Memorial High School</t>
  </si>
  <si>
    <t>B517</t>
  </si>
  <si>
    <t>Apostolic Christian Academy</t>
  </si>
  <si>
    <t>A044</t>
  </si>
  <si>
    <t>Plain View School</t>
  </si>
  <si>
    <t>B515</t>
  </si>
  <si>
    <t>B548</t>
  </si>
  <si>
    <t>Greenwood Bible Baptist School</t>
  </si>
  <si>
    <t>C966</t>
  </si>
  <si>
    <t>Greenwood Christian Academy</t>
  </si>
  <si>
    <t>B549</t>
  </si>
  <si>
    <t>Greenwood Christian School</t>
  </si>
  <si>
    <t>B528</t>
  </si>
  <si>
    <t>Center Grove Montessori School</t>
  </si>
  <si>
    <t>B539</t>
  </si>
  <si>
    <t>Risen Lord Montessori School</t>
  </si>
  <si>
    <t>B540</t>
  </si>
  <si>
    <t>SS Francis and Clare Catholic Sch</t>
  </si>
  <si>
    <t>B518</t>
  </si>
  <si>
    <t>St Rose of Lima School</t>
  </si>
  <si>
    <t>B535</t>
  </si>
  <si>
    <t>Our Lady of the Greenwood School</t>
  </si>
  <si>
    <t>B565</t>
  </si>
  <si>
    <t>Flaget Elementary School</t>
  </si>
  <si>
    <t>B560</t>
  </si>
  <si>
    <t>Rivet Middle &amp; High School</t>
  </si>
  <si>
    <t>B562</t>
  </si>
  <si>
    <t>Southwest IN Regional Youth Vlg</t>
  </si>
  <si>
    <t>B632</t>
  </si>
  <si>
    <t>Country Island School</t>
  </si>
  <si>
    <t>B580</t>
  </si>
  <si>
    <t>Gravelton School</t>
  </si>
  <si>
    <t>A931</t>
  </si>
  <si>
    <t>Maple Grove Amish School</t>
  </si>
  <si>
    <t>A961</t>
  </si>
  <si>
    <t>West Hastings School</t>
  </si>
  <si>
    <t>B595</t>
  </si>
  <si>
    <t>Lakeland Christian Academy</t>
  </si>
  <si>
    <t>B605</t>
  </si>
  <si>
    <t>B600</t>
  </si>
  <si>
    <t>Warsaw Christian School</t>
  </si>
  <si>
    <t>B610</t>
  </si>
  <si>
    <t>Cleveland Amish School</t>
  </si>
  <si>
    <t>B591</t>
  </si>
  <si>
    <t>B557</t>
  </si>
  <si>
    <t>Pierceton Woods Academy</t>
  </si>
  <si>
    <t>A036</t>
  </si>
  <si>
    <t xml:space="preserve">Andersen Trail School </t>
  </si>
  <si>
    <t>B695</t>
  </si>
  <si>
    <t>Blue Ridge School</t>
  </si>
  <si>
    <t>B625</t>
  </si>
  <si>
    <t>Brookside School</t>
  </si>
  <si>
    <t>B714</t>
  </si>
  <si>
    <t>Buck Creek School</t>
  </si>
  <si>
    <t>B615</t>
  </si>
  <si>
    <t>Cable Line School</t>
  </si>
  <si>
    <t>B618</t>
  </si>
  <si>
    <t>Chain O Lakes</t>
  </si>
  <si>
    <t>B711</t>
  </si>
  <si>
    <t>Clay Ridge School</t>
  </si>
  <si>
    <t>B677</t>
  </si>
  <si>
    <t>Clear Creek School</t>
  </si>
  <si>
    <t>B739</t>
  </si>
  <si>
    <t>Clearspring School</t>
  </si>
  <si>
    <t>B645</t>
  </si>
  <si>
    <t>Cottonwood Grove School</t>
  </si>
  <si>
    <t>A719</t>
  </si>
  <si>
    <t>B720</t>
  </si>
  <si>
    <t>B706</t>
  </si>
  <si>
    <t>East Townline School</t>
  </si>
  <si>
    <t>B705</t>
  </si>
  <si>
    <t>East Yoder School</t>
  </si>
  <si>
    <t>B616</t>
  </si>
  <si>
    <t>Eddy Village Amish School</t>
  </si>
  <si>
    <t>D013</t>
  </si>
  <si>
    <t>Eden Ridge School</t>
  </si>
  <si>
    <t>B635</t>
  </si>
  <si>
    <t>Elm View School</t>
  </si>
  <si>
    <t>A027</t>
  </si>
  <si>
    <t>Farm View School</t>
  </si>
  <si>
    <t>B626</t>
  </si>
  <si>
    <t>Fly Creek School</t>
  </si>
  <si>
    <t>B738</t>
  </si>
  <si>
    <t>Forks Valley School</t>
  </si>
  <si>
    <t>D014</t>
  </si>
  <si>
    <t>Golden Acres School</t>
  </si>
  <si>
    <t>B715</t>
  </si>
  <si>
    <t>Golden Rule School</t>
  </si>
  <si>
    <t>B690</t>
  </si>
  <si>
    <t>Hawpatch School</t>
  </si>
  <si>
    <t>B699</t>
  </si>
  <si>
    <t>Hidden Cove</t>
  </si>
  <si>
    <t>B630</t>
  </si>
  <si>
    <t>Honey Brook School</t>
  </si>
  <si>
    <t>B679</t>
  </si>
  <si>
    <t>Honeyview School</t>
  </si>
  <si>
    <t>B707</t>
  </si>
  <si>
    <t>Honeyville School</t>
  </si>
  <si>
    <t>B671</t>
  </si>
  <si>
    <t>Lakeside Amish</t>
  </si>
  <si>
    <t>B650</t>
  </si>
  <si>
    <t>Little Acorn School</t>
  </si>
  <si>
    <t>B665</t>
  </si>
  <si>
    <t>Maple Grove School</t>
  </si>
  <si>
    <t>B688</t>
  </si>
  <si>
    <t>Meadow View Amish School</t>
  </si>
  <si>
    <t>B713</t>
  </si>
  <si>
    <t>Meadowbrook School</t>
  </si>
  <si>
    <t>B685</t>
  </si>
  <si>
    <t>Meadowlane School</t>
  </si>
  <si>
    <t>A913</t>
  </si>
  <si>
    <t>Meadowlark School</t>
  </si>
  <si>
    <t>B675</t>
  </si>
  <si>
    <t>Middle Barrens School</t>
  </si>
  <si>
    <t>A006</t>
  </si>
  <si>
    <t>B718</t>
  </si>
  <si>
    <t>Nature Valley School</t>
  </si>
  <si>
    <t>B700</t>
  </si>
  <si>
    <t>Northside School</t>
  </si>
  <si>
    <t>B623</t>
  </si>
  <si>
    <t>Ontario Acres</t>
  </si>
  <si>
    <t>A021</t>
  </si>
  <si>
    <t xml:space="preserve">Orchard View School </t>
  </si>
  <si>
    <t>B703</t>
  </si>
  <si>
    <t>Paige Creek School</t>
  </si>
  <si>
    <t>B621</t>
  </si>
  <si>
    <t>Peaceful Meadows School</t>
  </si>
  <si>
    <t>B624</t>
  </si>
  <si>
    <t>Pheasant Trail School</t>
  </si>
  <si>
    <t>A099</t>
  </si>
  <si>
    <t>Pigeon River School</t>
  </si>
  <si>
    <t>B722</t>
  </si>
  <si>
    <t>Pleasant Acres School</t>
  </si>
  <si>
    <t>B655</t>
  </si>
  <si>
    <t>Pleasant Ridge School</t>
  </si>
  <si>
    <t>B719</t>
  </si>
  <si>
    <t>Prairie View School</t>
  </si>
  <si>
    <t>B678</t>
  </si>
  <si>
    <t>Rock Run School</t>
  </si>
  <si>
    <t>B619</t>
  </si>
  <si>
    <t>Seybert Trail School</t>
  </si>
  <si>
    <t>B702</t>
  </si>
  <si>
    <t>Shipshe Meadows School</t>
  </si>
  <si>
    <t>A711</t>
  </si>
  <si>
    <t>Shipshe View</t>
  </si>
  <si>
    <t>B740</t>
  </si>
  <si>
    <t>South Eden School</t>
  </si>
  <si>
    <t>B716</t>
  </si>
  <si>
    <t>Southeast Clay School</t>
  </si>
  <si>
    <t>B670</t>
  </si>
  <si>
    <t>Spring Hill School</t>
  </si>
  <si>
    <t>B640</t>
  </si>
  <si>
    <t>Sunny Ridge School</t>
  </si>
  <si>
    <t>B680</t>
  </si>
  <si>
    <t>Sunnyside School</t>
  </si>
  <si>
    <t>A014</t>
  </si>
  <si>
    <t>Sunrise Ridge School</t>
  </si>
  <si>
    <t>B617</t>
  </si>
  <si>
    <t>Tilfert Lake School</t>
  </si>
  <si>
    <t>A028</t>
  </si>
  <si>
    <t>Timber Edge School</t>
  </si>
  <si>
    <t>B697</t>
  </si>
  <si>
    <t>Tollway View Amish School</t>
  </si>
  <si>
    <t>B698</t>
  </si>
  <si>
    <t>Townline Square School</t>
  </si>
  <si>
    <t>B712</t>
  </si>
  <si>
    <t>Valley Line School</t>
  </si>
  <si>
    <t>B622</t>
  </si>
  <si>
    <t>Van Buren Hills School</t>
  </si>
  <si>
    <t>B689</t>
  </si>
  <si>
    <t>Wabash Trail Amish</t>
  </si>
  <si>
    <t>B710</t>
  </si>
  <si>
    <t>West Yoder School</t>
  </si>
  <si>
    <t>B717</t>
  </si>
  <si>
    <t>Whispering Wind School</t>
  </si>
  <si>
    <t>B660</t>
  </si>
  <si>
    <t>Woodside School</t>
  </si>
  <si>
    <t>D622</t>
  </si>
  <si>
    <t>Yoder Center</t>
  </si>
  <si>
    <t>B730</t>
  </si>
  <si>
    <t>Bloomfield Hill School</t>
  </si>
  <si>
    <t>D012</t>
  </si>
  <si>
    <t>Blue Heron School</t>
  </si>
  <si>
    <t>B737</t>
  </si>
  <si>
    <t>Creekside Amish School</t>
  </si>
  <si>
    <t>B726</t>
  </si>
  <si>
    <t>Indian Trail School</t>
  </si>
  <si>
    <t>B735</t>
  </si>
  <si>
    <t>New Valentine Amish School</t>
  </si>
  <si>
    <t>B682</t>
  </si>
  <si>
    <t>Oak Hill Amish School</t>
  </si>
  <si>
    <t>B771</t>
  </si>
  <si>
    <t>Crown Point Christian School</t>
  </si>
  <si>
    <t>A628</t>
  </si>
  <si>
    <t>Heritage Christian High School</t>
  </si>
  <si>
    <t>A122</t>
  </si>
  <si>
    <t>Illiana Christian High School</t>
  </si>
  <si>
    <t>A626</t>
  </si>
  <si>
    <t>Protestant Reformed Christian Schl</t>
  </si>
  <si>
    <t>B760</t>
  </si>
  <si>
    <t>Andrean High School</t>
  </si>
  <si>
    <t>B755</t>
  </si>
  <si>
    <t>Aquinas School at St Andrew's</t>
  </si>
  <si>
    <t>B764</t>
  </si>
  <si>
    <t>Avicenna Academy</t>
  </si>
  <si>
    <t>B751</t>
  </si>
  <si>
    <t>Happy Days Learning Center</t>
  </si>
  <si>
    <t>B821</t>
  </si>
  <si>
    <t>Indiana Horizon Academy</t>
  </si>
  <si>
    <t>A769</t>
  </si>
  <si>
    <t>Montessori Academy of NWI</t>
  </si>
  <si>
    <t>D119</t>
  </si>
  <si>
    <t>Youth With A Purpose Inc. Academy</t>
  </si>
  <si>
    <t>C013</t>
  </si>
  <si>
    <t>Forest Ridge Academy Inc</t>
  </si>
  <si>
    <t>B790</t>
  </si>
  <si>
    <t>Hammond Baptist Schools</t>
  </si>
  <si>
    <t>B747</t>
  </si>
  <si>
    <t>Midwest Elite Prep Acad Inc</t>
  </si>
  <si>
    <t>B780</t>
  </si>
  <si>
    <t>Saint John Evangelist School</t>
  </si>
  <si>
    <t>B775</t>
  </si>
  <si>
    <t>B795</t>
  </si>
  <si>
    <t>Lowell Christian Academy</t>
  </si>
  <si>
    <t>D913</t>
  </si>
  <si>
    <t xml:space="preserve">Israel School of Excellence </t>
  </si>
  <si>
    <t>D211</t>
  </si>
  <si>
    <t xml:space="preserve">Repairer Of The Breach Ministries </t>
  </si>
  <si>
    <t>B773</t>
  </si>
  <si>
    <t>Northwest Adventist Christian Sch</t>
  </si>
  <si>
    <t>B835</t>
  </si>
  <si>
    <t>Saint Mary Catholic Comm School</t>
  </si>
  <si>
    <t>B850</t>
  </si>
  <si>
    <t>B865</t>
  </si>
  <si>
    <t>St Stanislaus School</t>
  </si>
  <si>
    <t>B806</t>
  </si>
  <si>
    <t>Ambassador Christian Academy</t>
  </si>
  <si>
    <t>B892</t>
  </si>
  <si>
    <t>Ascension Lutheran Christian Schl</t>
  </si>
  <si>
    <t>B129</t>
  </si>
  <si>
    <t>Life Christian STEAM Academy</t>
  </si>
  <si>
    <t>B915</t>
  </si>
  <si>
    <t>Mizpah Seventh-Day Adventist Acad</t>
  </si>
  <si>
    <t>D916</t>
  </si>
  <si>
    <t xml:space="preserve">New Hope Academy </t>
  </si>
  <si>
    <t>B894</t>
  </si>
  <si>
    <t>Tender Loving Care Academy</t>
  </si>
  <si>
    <t>B797</t>
  </si>
  <si>
    <t>B815</t>
  </si>
  <si>
    <t>Calumet Christian School</t>
  </si>
  <si>
    <t>B930</t>
  </si>
  <si>
    <t>B970</t>
  </si>
  <si>
    <t>Bishop Noll Institute</t>
  </si>
  <si>
    <t>B962</t>
  </si>
  <si>
    <t>Children of Destiny Christian Acad</t>
  </si>
  <si>
    <t>B985</t>
  </si>
  <si>
    <t>City Baptist Schools</t>
  </si>
  <si>
    <t>C008</t>
  </si>
  <si>
    <t>Greater Works Learning Academy</t>
  </si>
  <si>
    <t>C006</t>
  </si>
  <si>
    <t>Kingdom Christian Center Academy</t>
  </si>
  <si>
    <t>B951</t>
  </si>
  <si>
    <t>Morning Star Academy</t>
  </si>
  <si>
    <t>B950</t>
  </si>
  <si>
    <t>Saint Casimir School</t>
  </si>
  <si>
    <t>B960</t>
  </si>
  <si>
    <t>Saint John Bosco School</t>
  </si>
  <si>
    <t>B965</t>
  </si>
  <si>
    <t>A013</t>
  </si>
  <si>
    <t>Children of the Earth Montessori</t>
  </si>
  <si>
    <t>C018</t>
  </si>
  <si>
    <t>Cline Ave Baptist Childcare/PreSch</t>
  </si>
  <si>
    <t>C017</t>
  </si>
  <si>
    <t>Happy Days Child Care Center</t>
  </si>
  <si>
    <t>C020</t>
  </si>
  <si>
    <t>Highland Christian School</t>
  </si>
  <si>
    <t>C025</t>
  </si>
  <si>
    <t>Our Lady Of Grace School</t>
  </si>
  <si>
    <t>C035</t>
  </si>
  <si>
    <t>Montessori Academy in the Oaks</t>
  </si>
  <si>
    <t>C050</t>
  </si>
  <si>
    <t>C060</t>
  </si>
  <si>
    <t>Saint Thomas More School</t>
  </si>
  <si>
    <t>C065</t>
  </si>
  <si>
    <t>St Paul's Lutheran School</t>
  </si>
  <si>
    <t>C082</t>
  </si>
  <si>
    <t>Sacred Heart Apostolic School</t>
  </si>
  <si>
    <t>C100</t>
  </si>
  <si>
    <t>La Lumiere School</t>
  </si>
  <si>
    <t>C125</t>
  </si>
  <si>
    <t>Marquette Catholic High School</t>
  </si>
  <si>
    <t>C105</t>
  </si>
  <si>
    <t>Notre Dame Catholic School</t>
  </si>
  <si>
    <t>C110</t>
  </si>
  <si>
    <t>Queen Of All Saints School</t>
  </si>
  <si>
    <t>C130</t>
  </si>
  <si>
    <t>C120</t>
  </si>
  <si>
    <t>Saint Stanislaus Kostka School</t>
  </si>
  <si>
    <t>C150</t>
  </si>
  <si>
    <t>C160</t>
  </si>
  <si>
    <t>C170</t>
  </si>
  <si>
    <t>Springville Christian School</t>
  </si>
  <si>
    <t>C165</t>
  </si>
  <si>
    <t>Stone City Christian Academy</t>
  </si>
  <si>
    <t>C174</t>
  </si>
  <si>
    <t>Sunshine School</t>
  </si>
  <si>
    <t>C215</t>
  </si>
  <si>
    <t>Cross Street Christian School</t>
  </si>
  <si>
    <t>C175</t>
  </si>
  <si>
    <t>Indiana Christian Academy</t>
  </si>
  <si>
    <t>C190</t>
  </si>
  <si>
    <t>C250</t>
  </si>
  <si>
    <t>Anderson Christian School</t>
  </si>
  <si>
    <t>C217</t>
  </si>
  <si>
    <t>Calvary Academy</t>
  </si>
  <si>
    <t>C211</t>
  </si>
  <si>
    <t>C226</t>
  </si>
  <si>
    <t>Liberty Christian Elementary</t>
  </si>
  <si>
    <t>C225</t>
  </si>
  <si>
    <t>Liberty Christian School</t>
  </si>
  <si>
    <t>C195</t>
  </si>
  <si>
    <t>Park Place Children's Center</t>
  </si>
  <si>
    <t>C257</t>
  </si>
  <si>
    <t>Damar Academy</t>
  </si>
  <si>
    <t>C270</t>
  </si>
  <si>
    <t>Lutheran High School</t>
  </si>
  <si>
    <t>C265</t>
  </si>
  <si>
    <t>Nativity Catholic School</t>
  </si>
  <si>
    <t>C323</t>
  </si>
  <si>
    <t>Basic Prep Academy</t>
  </si>
  <si>
    <t>C281</t>
  </si>
  <si>
    <t>Cornerstone Baptist Academy</t>
  </si>
  <si>
    <t>C276</t>
  </si>
  <si>
    <t>Fall Creek Montessori Academy</t>
  </si>
  <si>
    <t>C612</t>
  </si>
  <si>
    <t>Fortune Academy</t>
  </si>
  <si>
    <t>C275</t>
  </si>
  <si>
    <t>Heritage Christian School</t>
  </si>
  <si>
    <t>C267</t>
  </si>
  <si>
    <t>C282</t>
  </si>
  <si>
    <t>Horizon Christian School</t>
  </si>
  <si>
    <t>C280</t>
  </si>
  <si>
    <t>C665</t>
  </si>
  <si>
    <t>Saint Simon The Apostle School</t>
  </si>
  <si>
    <t>C699</t>
  </si>
  <si>
    <t>TP Schools</t>
  </si>
  <si>
    <t>C572</t>
  </si>
  <si>
    <t>Worthmore Academy</t>
  </si>
  <si>
    <t>C333</t>
  </si>
  <si>
    <t>ACTS Academy</t>
  </si>
  <si>
    <t>C580</t>
  </si>
  <si>
    <t>Calvary Christian School</t>
  </si>
  <si>
    <t>C315</t>
  </si>
  <si>
    <t>Calvary Lutheran School</t>
  </si>
  <si>
    <t>C271</t>
  </si>
  <si>
    <t>Curtis Wilson Primary School</t>
  </si>
  <si>
    <t>C357</t>
  </si>
  <si>
    <t>Gray Road Christian School</t>
  </si>
  <si>
    <t>C679</t>
  </si>
  <si>
    <t xml:space="preserve">Indianapolis Southside Christian </t>
  </si>
  <si>
    <t>C298</t>
  </si>
  <si>
    <t>Montessori Garden Academy</t>
  </si>
  <si>
    <t>C320</t>
  </si>
  <si>
    <t>Roncalli High School</t>
  </si>
  <si>
    <t>C295</t>
  </si>
  <si>
    <t>Saint Barnabas School</t>
  </si>
  <si>
    <t>C300</t>
  </si>
  <si>
    <t>C305</t>
  </si>
  <si>
    <t>Saint Mark School</t>
  </si>
  <si>
    <t>C310</t>
  </si>
  <si>
    <t>Saint Roch School</t>
  </si>
  <si>
    <t>C349</t>
  </si>
  <si>
    <t>Southport Presbyterian Chrst Sch</t>
  </si>
  <si>
    <t>C354</t>
  </si>
  <si>
    <t>Southside Christian School</t>
  </si>
  <si>
    <t>C325</t>
  </si>
  <si>
    <t>Suburban Christian School</t>
  </si>
  <si>
    <t>D912</t>
  </si>
  <si>
    <t xml:space="preserve">Al Haqq Foundation Academy </t>
  </si>
  <si>
    <t>C360</t>
  </si>
  <si>
    <t>Brebeuf Jesuit Preparatory School</t>
  </si>
  <si>
    <t>C364</t>
  </si>
  <si>
    <t>Maria Montessori International Aca</t>
  </si>
  <si>
    <t>C321</t>
  </si>
  <si>
    <t>Riviera Daycare and Preschool</t>
  </si>
  <si>
    <t>C470</t>
  </si>
  <si>
    <t>The Children's House</t>
  </si>
  <si>
    <t>C396</t>
  </si>
  <si>
    <t>Burge Terrace Christian School</t>
  </si>
  <si>
    <t>C390</t>
  </si>
  <si>
    <t>Holy Spirit School</t>
  </si>
  <si>
    <t>C400</t>
  </si>
  <si>
    <t>C395</t>
  </si>
  <si>
    <t>C559</t>
  </si>
  <si>
    <t>Word &amp; Knowledge Christian Academy</t>
  </si>
  <si>
    <t>A239</t>
  </si>
  <si>
    <t>A Children's Habitat</t>
  </si>
  <si>
    <t>C486</t>
  </si>
  <si>
    <t>Christ Church Christian Academy</t>
  </si>
  <si>
    <t>C495</t>
  </si>
  <si>
    <t>Colonial Christian School</t>
  </si>
  <si>
    <t>C475</t>
  </si>
  <si>
    <t>Hasten Hebrew Acad of Indianapolis</t>
  </si>
  <si>
    <t>C455</t>
  </si>
  <si>
    <t>Indianapolis Junior Academy</t>
  </si>
  <si>
    <t>C678</t>
  </si>
  <si>
    <t>International Sch of IN (6-8)</t>
  </si>
  <si>
    <t>C677</t>
  </si>
  <si>
    <t>International Sch of IN HS (9-12)</t>
  </si>
  <si>
    <t>C480</t>
  </si>
  <si>
    <t>Jewish Community Center</t>
  </si>
  <si>
    <t>C426</t>
  </si>
  <si>
    <t>Park Tudor School (6-8)</t>
  </si>
  <si>
    <t>C432</t>
  </si>
  <si>
    <t>Park Tudor School (9-12)</t>
  </si>
  <si>
    <t>C425</t>
  </si>
  <si>
    <t>Park Tudor School (KG-05)</t>
  </si>
  <si>
    <t>B117</t>
  </si>
  <si>
    <t>Polaris Center For Education Inc</t>
  </si>
  <si>
    <t>C435</t>
  </si>
  <si>
    <t>Saint Luke School</t>
  </si>
  <si>
    <t>C440</t>
  </si>
  <si>
    <t>Saint Matthew School</t>
  </si>
  <si>
    <t>C445</t>
  </si>
  <si>
    <t>Saint Monica School</t>
  </si>
  <si>
    <t>C450</t>
  </si>
  <si>
    <t>Saint Pius X School</t>
  </si>
  <si>
    <t>C493</t>
  </si>
  <si>
    <t>Sycamore School</t>
  </si>
  <si>
    <t>C433</t>
  </si>
  <si>
    <t>The Limberlost School Inc</t>
  </si>
  <si>
    <t>C430</t>
  </si>
  <si>
    <t>The Orchard School</t>
  </si>
  <si>
    <t>C519</t>
  </si>
  <si>
    <t>Chapel Hill Christian School</t>
  </si>
  <si>
    <t>C527</t>
  </si>
  <si>
    <t>C514</t>
  </si>
  <si>
    <t>Crosspointe Christian Academy</t>
  </si>
  <si>
    <t>C513</t>
  </si>
  <si>
    <t>Islamic Academy of Indianapolis</t>
  </si>
  <si>
    <t>C545</t>
  </si>
  <si>
    <t>Holy Name Catholic School</t>
  </si>
  <si>
    <t>D911</t>
  </si>
  <si>
    <t xml:space="preserve">Achieve Academy </t>
  </si>
  <si>
    <t>A149</t>
  </si>
  <si>
    <t xml:space="preserve">Apogee School For The Gifted </t>
  </si>
  <si>
    <t>C705</t>
  </si>
  <si>
    <t>Bishop Chatard High School</t>
  </si>
  <si>
    <t>C591</t>
  </si>
  <si>
    <t>Building Blocks Academy</t>
  </si>
  <si>
    <t>C690</t>
  </si>
  <si>
    <t>Capitol City SDA Church School</t>
  </si>
  <si>
    <t>C715</t>
  </si>
  <si>
    <t>Cardinal Ritter High School</t>
  </si>
  <si>
    <t>C700</t>
  </si>
  <si>
    <t>Cathedral High School</t>
  </si>
  <si>
    <t>C625</t>
  </si>
  <si>
    <t>Central Catholic School</t>
  </si>
  <si>
    <t>C575</t>
  </si>
  <si>
    <t>Central Christian Academy</t>
  </si>
  <si>
    <t>C317</t>
  </si>
  <si>
    <t>Christ Temple Christian Academy</t>
  </si>
  <si>
    <t>C585</t>
  </si>
  <si>
    <t>Christ The King School</t>
  </si>
  <si>
    <t>C378</t>
  </si>
  <si>
    <t>Dashmesh Elementary School</t>
  </si>
  <si>
    <t>C680</t>
  </si>
  <si>
    <t>C771</t>
  </si>
  <si>
    <t>Greater Morning Star Christian Sch</t>
  </si>
  <si>
    <t>A004</t>
  </si>
  <si>
    <t>Hagia Sophia Classical Academy</t>
  </si>
  <si>
    <t>C590</t>
  </si>
  <si>
    <t>Holy Angels Catholic School</t>
  </si>
  <si>
    <t>C595</t>
  </si>
  <si>
    <t>Holy Cross Central School</t>
  </si>
  <si>
    <t>C600</t>
  </si>
  <si>
    <t>Immaculate Heart of Mary School</t>
  </si>
  <si>
    <t>C468</t>
  </si>
  <si>
    <t>International Sch of IN (PK-5)</t>
  </si>
  <si>
    <t>B299</t>
  </si>
  <si>
    <t>Legacy Learning Center</t>
  </si>
  <si>
    <t>C701</t>
  </si>
  <si>
    <t>Mackida Loveal Higher Learning Aca</t>
  </si>
  <si>
    <t>C712</t>
  </si>
  <si>
    <t>Montessori Centers Inc</t>
  </si>
  <si>
    <t>C628</t>
  </si>
  <si>
    <t>MTI School of Knowledge</t>
  </si>
  <si>
    <t>C688</t>
  </si>
  <si>
    <t>Muhammad's School</t>
  </si>
  <si>
    <t>C733</t>
  </si>
  <si>
    <t>New Beginnings and Adventures</t>
  </si>
  <si>
    <t>C647</t>
  </si>
  <si>
    <t>Northside Montessori School</t>
  </si>
  <si>
    <t>C605</t>
  </si>
  <si>
    <t>Our Lady Of Lourdes School</t>
  </si>
  <si>
    <t>C623</t>
  </si>
  <si>
    <t>Providence Cristo Rey High School</t>
  </si>
  <si>
    <t>C722</t>
  </si>
  <si>
    <t>Purpose of Life Academy</t>
  </si>
  <si>
    <t>C645</t>
  </si>
  <si>
    <t>Saint Joan Of Arc School</t>
  </si>
  <si>
    <t>C655</t>
  </si>
  <si>
    <t>Saint Philip Neri School</t>
  </si>
  <si>
    <t>C675</t>
  </si>
  <si>
    <t>Saint Thomas Aquinas School</t>
  </si>
  <si>
    <t>C710</t>
  </si>
  <si>
    <t>Scecina Memorial High School</t>
  </si>
  <si>
    <t>C791</t>
  </si>
  <si>
    <t>School for Community Learning</t>
  </si>
  <si>
    <t>C563</t>
  </si>
  <si>
    <t xml:space="preserve">Shepherd Community Academy </t>
  </si>
  <si>
    <t>C615</t>
  </si>
  <si>
    <t>St Anthony Catholic School</t>
  </si>
  <si>
    <t>C650</t>
  </si>
  <si>
    <t>St Michael The Archangel School</t>
  </si>
  <si>
    <t>C570</t>
  </si>
  <si>
    <t>St Richard's Episcopal School</t>
  </si>
  <si>
    <t>C670</t>
  </si>
  <si>
    <t>St Therese Little Flower School</t>
  </si>
  <si>
    <t>C589</t>
  </si>
  <si>
    <t>The Independence Academy</t>
  </si>
  <si>
    <t>B297</t>
  </si>
  <si>
    <t>The Oaks Academy - Brookside</t>
  </si>
  <si>
    <t>C773</t>
  </si>
  <si>
    <t>The Oaks Academy - Fall Creek</t>
  </si>
  <si>
    <t>C774</t>
  </si>
  <si>
    <t>The Oaks Academy - Middle School</t>
  </si>
  <si>
    <t>C561</t>
  </si>
  <si>
    <t>C725</t>
  </si>
  <si>
    <t>Witness for Christ Christian Sch</t>
  </si>
  <si>
    <t>D917</t>
  </si>
  <si>
    <t>World Changers School of the Arts</t>
  </si>
  <si>
    <t>C795</t>
  </si>
  <si>
    <t>Saint Christopher School</t>
  </si>
  <si>
    <t>C805</t>
  </si>
  <si>
    <t>Culver Academies</t>
  </si>
  <si>
    <t>C830</t>
  </si>
  <si>
    <t>Borkholder Parochial School</t>
  </si>
  <si>
    <t>C841</t>
  </si>
  <si>
    <t>Creekside School</t>
  </si>
  <si>
    <t>C845</t>
  </si>
  <si>
    <t>Dausman Prairie School</t>
  </si>
  <si>
    <t>C840</t>
  </si>
  <si>
    <t>New Burlington Amish School</t>
  </si>
  <si>
    <t>C863</t>
  </si>
  <si>
    <t>Rolling Meadow School</t>
  </si>
  <si>
    <t>C825</t>
  </si>
  <si>
    <t>C820</t>
  </si>
  <si>
    <t>Sandy Ridge School</t>
  </si>
  <si>
    <t>C835</t>
  </si>
  <si>
    <t>South Beech Amish School</t>
  </si>
  <si>
    <t>A123</t>
  </si>
  <si>
    <t>Whispering Knoll School</t>
  </si>
  <si>
    <t>C850</t>
  </si>
  <si>
    <t>Grace Baptist Christian School</t>
  </si>
  <si>
    <t>C855</t>
  </si>
  <si>
    <t>C847</t>
  </si>
  <si>
    <t>Bourbon Christian School</t>
  </si>
  <si>
    <t>C843</t>
  </si>
  <si>
    <t>Pine Grove School</t>
  </si>
  <si>
    <t>A932</t>
  </si>
  <si>
    <t>Pleasant View School</t>
  </si>
  <si>
    <t>A929</t>
  </si>
  <si>
    <t>South Millwood Amish School</t>
  </si>
  <si>
    <t>C880</t>
  </si>
  <si>
    <t>Grace Baptist Academy</t>
  </si>
  <si>
    <t>C905</t>
  </si>
  <si>
    <t>Adventist Christian Elementary</t>
  </si>
  <si>
    <t>A009</t>
  </si>
  <si>
    <t>Bloomington Islamic School</t>
  </si>
  <si>
    <t>C895</t>
  </si>
  <si>
    <t>Bloomington Montessori School</t>
  </si>
  <si>
    <t>C933</t>
  </si>
  <si>
    <t>Clear Creek Christian School</t>
  </si>
  <si>
    <t>C910</t>
  </si>
  <si>
    <t>Covenant Christian School</t>
  </si>
  <si>
    <t>C915</t>
  </si>
  <si>
    <t>Harmony School</t>
  </si>
  <si>
    <t>C927</t>
  </si>
  <si>
    <t>Lighthouse Christian Academy</t>
  </si>
  <si>
    <t>C899</t>
  </si>
  <si>
    <t>Pinnacle School</t>
  </si>
  <si>
    <t>C900</t>
  </si>
  <si>
    <t>C918</t>
  </si>
  <si>
    <t>The Prep School</t>
  </si>
  <si>
    <t>A024</t>
  </si>
  <si>
    <t xml:space="preserve">Hillcrest School </t>
  </si>
  <si>
    <t>B633</t>
  </si>
  <si>
    <t>Peaceful Acres School</t>
  </si>
  <si>
    <t>C940</t>
  </si>
  <si>
    <t>Tabernacle Christian School</t>
  </si>
  <si>
    <t>C965</t>
  </si>
  <si>
    <t>Mooresville Christian Academy</t>
  </si>
  <si>
    <t>C974</t>
  </si>
  <si>
    <t>C984</t>
  </si>
  <si>
    <t>Oak Farm Montessori School</t>
  </si>
  <si>
    <t>C980</t>
  </si>
  <si>
    <t>Saint Mary Elementary School</t>
  </si>
  <si>
    <t>C985</t>
  </si>
  <si>
    <t>St John Lutheran School</t>
  </si>
  <si>
    <t>D897</t>
  </si>
  <si>
    <t>Hidden Meadow School</t>
  </si>
  <si>
    <t>C983</t>
  </si>
  <si>
    <t>Nature Hill Amish</t>
  </si>
  <si>
    <t>A034</t>
  </si>
  <si>
    <t xml:space="preserve">Scenic Hills School </t>
  </si>
  <si>
    <t>C976</t>
  </si>
  <si>
    <t>Stoney Acres Amish School</t>
  </si>
  <si>
    <t>C977</t>
  </si>
  <si>
    <t>Sunny Slope Amish School</t>
  </si>
  <si>
    <t>C987</t>
  </si>
  <si>
    <t>West Waldron</t>
  </si>
  <si>
    <t>B629</t>
  </si>
  <si>
    <t>B189</t>
  </si>
  <si>
    <t>Hilltop Christian School</t>
  </si>
  <si>
    <t>D009</t>
  </si>
  <si>
    <t>Leatherwood Creek School</t>
  </si>
  <si>
    <t>D028</t>
  </si>
  <si>
    <t>D025</t>
  </si>
  <si>
    <t>Adams School</t>
  </si>
  <si>
    <t>A031</t>
  </si>
  <si>
    <t xml:space="preserve">Barnyard Echoes </t>
  </si>
  <si>
    <t>D899</t>
  </si>
  <si>
    <t>Breezy Knoll School</t>
  </si>
  <si>
    <t>D021</t>
  </si>
  <si>
    <t>Coyote Hollow</t>
  </si>
  <si>
    <t>D023</t>
  </si>
  <si>
    <t>Ferndale Amish School</t>
  </si>
  <si>
    <t>D026</t>
  </si>
  <si>
    <t>Lake View School</t>
  </si>
  <si>
    <t>B634</t>
  </si>
  <si>
    <t>New Discovery School</t>
  </si>
  <si>
    <t>C961</t>
  </si>
  <si>
    <t>Secluded Acres School</t>
  </si>
  <si>
    <t>D027</t>
  </si>
  <si>
    <t>Sugar Creek School</t>
  </si>
  <si>
    <t>D022</t>
  </si>
  <si>
    <t>Sycamore Country School</t>
  </si>
  <si>
    <t>B296</t>
  </si>
  <si>
    <t>West Side School Inc</t>
  </si>
  <si>
    <t>D032</t>
  </si>
  <si>
    <t>Whispering Willow</t>
  </si>
  <si>
    <t>D052</t>
  </si>
  <si>
    <t>Chesterton Montessori School</t>
  </si>
  <si>
    <t>D055</t>
  </si>
  <si>
    <t>Fairhaven Baptist Academy</t>
  </si>
  <si>
    <t>D050</t>
  </si>
  <si>
    <t>Saint Patrick School</t>
  </si>
  <si>
    <t>D058</t>
  </si>
  <si>
    <t>Midwest Academy MCYF</t>
  </si>
  <si>
    <t>D056</t>
  </si>
  <si>
    <t>Shults-Lewis Child &amp; Family Srvs</t>
  </si>
  <si>
    <t>D073</t>
  </si>
  <si>
    <t>D063</t>
  </si>
  <si>
    <t>Emmanuel Baptist Academy</t>
  </si>
  <si>
    <t>D065</t>
  </si>
  <si>
    <t>Nativity of Our Savior School</t>
  </si>
  <si>
    <t>D080</t>
  </si>
  <si>
    <t>Portage Christian School</t>
  </si>
  <si>
    <t>D090</t>
  </si>
  <si>
    <t>D064</t>
  </si>
  <si>
    <t>Montessori Academy of Valparaiso</t>
  </si>
  <si>
    <t>D085</t>
  </si>
  <si>
    <t>Saint Paul Catholic School</t>
  </si>
  <si>
    <t>D095</t>
  </si>
  <si>
    <t>St Matthew School</t>
  </si>
  <si>
    <t>D100</t>
  </si>
  <si>
    <t>St Philip School</t>
  </si>
  <si>
    <t>D105</t>
  </si>
  <si>
    <t>Saint Wendel School</t>
  </si>
  <si>
    <t>D133</t>
  </si>
  <si>
    <t>Lake Side</t>
  </si>
  <si>
    <t>D121</t>
  </si>
  <si>
    <t>Prairie Land School</t>
  </si>
  <si>
    <t>D135</t>
  </si>
  <si>
    <t>Oldenburg Academy</t>
  </si>
  <si>
    <t>D130</t>
  </si>
  <si>
    <t>Saint Louis School</t>
  </si>
  <si>
    <t>D150</t>
  </si>
  <si>
    <t>Flat Rock Amish School</t>
  </si>
  <si>
    <t>D151</t>
  </si>
  <si>
    <t>Milroy Amish School</t>
  </si>
  <si>
    <t>D140</t>
  </si>
  <si>
    <t>D158</t>
  </si>
  <si>
    <t>North Liberty Christian School</t>
  </si>
  <si>
    <t>D189</t>
  </si>
  <si>
    <t>D165</t>
  </si>
  <si>
    <t>Marian High School</t>
  </si>
  <si>
    <t>D210</t>
  </si>
  <si>
    <t>Montessori Academy at Edison Lakes</t>
  </si>
  <si>
    <t>A972</t>
  </si>
  <si>
    <t>Oak Grove School</t>
  </si>
  <si>
    <t>D164</t>
  </si>
  <si>
    <t>St Pius X Catholic School</t>
  </si>
  <si>
    <t>D196</t>
  </si>
  <si>
    <t>Bais Yaakov High School of Indiana</t>
  </si>
  <si>
    <t>D177</t>
  </si>
  <si>
    <t>Mishawaka Catholic School</t>
  </si>
  <si>
    <t>D249</t>
  </si>
  <si>
    <t>New Vision Christian Academy</t>
  </si>
  <si>
    <t>D198</t>
  </si>
  <si>
    <t>Queen of Peace School</t>
  </si>
  <si>
    <t>D195</t>
  </si>
  <si>
    <t>South Bend Hebrew Day School</t>
  </si>
  <si>
    <t>D230</t>
  </si>
  <si>
    <t>D305</t>
  </si>
  <si>
    <t>Community Baptist Christian School</t>
  </si>
  <si>
    <t>D235</t>
  </si>
  <si>
    <t>D909</t>
  </si>
  <si>
    <t>DePaul Academy</t>
  </si>
  <si>
    <t>D272</t>
  </si>
  <si>
    <t>Good Shepherd Montessori School</t>
  </si>
  <si>
    <t>D310</t>
  </si>
  <si>
    <t>Granger Christian School</t>
  </si>
  <si>
    <t>D240</t>
  </si>
  <si>
    <t>D245</t>
  </si>
  <si>
    <t>D315</t>
  </si>
  <si>
    <t>Michiana Christian Academy, Inc.</t>
  </si>
  <si>
    <t>D250</t>
  </si>
  <si>
    <t>Our Lady Of Hungary School</t>
  </si>
  <si>
    <t>D163</t>
  </si>
  <si>
    <t>Peace Lutheran School</t>
  </si>
  <si>
    <t>D317</t>
  </si>
  <si>
    <t>Resurrection Lutheran Academy</t>
  </si>
  <si>
    <t>A042</t>
  </si>
  <si>
    <t>River Montessori High School</t>
  </si>
  <si>
    <t>D255</t>
  </si>
  <si>
    <t>Saint Adalbert School</t>
  </si>
  <si>
    <t>D260</t>
  </si>
  <si>
    <t>Saint Anthony De Padua School</t>
  </si>
  <si>
    <t>D265</t>
  </si>
  <si>
    <t>D225</t>
  </si>
  <si>
    <t>Saint Joseph High School</t>
  </si>
  <si>
    <t>D270</t>
  </si>
  <si>
    <t>D275</t>
  </si>
  <si>
    <t>Saint Jude Catholic School</t>
  </si>
  <si>
    <t>D285</t>
  </si>
  <si>
    <t>Saint Matthew Cathedral School</t>
  </si>
  <si>
    <t>D300</t>
  </si>
  <si>
    <t>South Bend Jr Academy School</t>
  </si>
  <si>
    <t>D220</t>
  </si>
  <si>
    <t>The Stanley Clark School</t>
  </si>
  <si>
    <t>D217</t>
  </si>
  <si>
    <t>Trinity School At Greenlawn</t>
  </si>
  <si>
    <t>D201</t>
  </si>
  <si>
    <t xml:space="preserve">Veritas Academy </t>
  </si>
  <si>
    <t>D281</t>
  </si>
  <si>
    <t>Yeshiva of South Bend</t>
  </si>
  <si>
    <t>D329</t>
  </si>
  <si>
    <t>Grace Christian Academy Inc</t>
  </si>
  <si>
    <t>D345</t>
  </si>
  <si>
    <t>Apostolic Christian School</t>
  </si>
  <si>
    <t>D335</t>
  </si>
  <si>
    <t>D370</t>
  </si>
  <si>
    <t>St Bernard Catholic School</t>
  </si>
  <si>
    <t>D375</t>
  </si>
  <si>
    <t>D390</t>
  </si>
  <si>
    <t>East Alvarado School</t>
  </si>
  <si>
    <t>A101</t>
  </si>
  <si>
    <t>Next Level Academy</t>
  </si>
  <si>
    <t>D411</t>
  </si>
  <si>
    <t>Center Square Amish</t>
  </si>
  <si>
    <t>D415</t>
  </si>
  <si>
    <t>Central Catholic Jr-Sr High School</t>
  </si>
  <si>
    <t>D431</t>
  </si>
  <si>
    <t>Follow the Child Montessori School</t>
  </si>
  <si>
    <t>D440</t>
  </si>
  <si>
    <t>Lafayette Christian School</t>
  </si>
  <si>
    <t>D420</t>
  </si>
  <si>
    <t>Saint Boniface School</t>
  </si>
  <si>
    <t>D435</t>
  </si>
  <si>
    <t>Saint James Lutheran School</t>
  </si>
  <si>
    <t>D425</t>
  </si>
  <si>
    <t>Saint Lawrence Elementary School</t>
  </si>
  <si>
    <t>D430</t>
  </si>
  <si>
    <t>Saint Mary Cathedral School</t>
  </si>
  <si>
    <t>D451</t>
  </si>
  <si>
    <t>T. C. Harris School</t>
  </si>
  <si>
    <t>D452</t>
  </si>
  <si>
    <t>D459</t>
  </si>
  <si>
    <t>Lighthouse Baptist Christian Acad</t>
  </si>
  <si>
    <t>D450</t>
  </si>
  <si>
    <t>Montessori School of Lafayette</t>
  </si>
  <si>
    <t>D525</t>
  </si>
  <si>
    <t>Evansville Day School</t>
  </si>
  <si>
    <t>D625</t>
  </si>
  <si>
    <t>Evansville Lutheran School</t>
  </si>
  <si>
    <t>D555</t>
  </si>
  <si>
    <t>Good Shepherd School</t>
  </si>
  <si>
    <t>D560</t>
  </si>
  <si>
    <t>Holy Redeemer School</t>
  </si>
  <si>
    <t>D565</t>
  </si>
  <si>
    <t>Holy Rosary School</t>
  </si>
  <si>
    <t>D530</t>
  </si>
  <si>
    <t>Mater Dei High School</t>
  </si>
  <si>
    <t>D505</t>
  </si>
  <si>
    <t>Montessori Academy</t>
  </si>
  <si>
    <t>D535</t>
  </si>
  <si>
    <t>Reitz Memorial High School</t>
  </si>
  <si>
    <t>D610</t>
  </si>
  <si>
    <t>Resurrection School</t>
  </si>
  <si>
    <t>A121</t>
  </si>
  <si>
    <t>Riverview Adventist Christian Acad</t>
  </si>
  <si>
    <t>D605</t>
  </si>
  <si>
    <t>D590</t>
  </si>
  <si>
    <t>St Benedict Cathedral School</t>
  </si>
  <si>
    <t>D580</t>
  </si>
  <si>
    <t>Westside Catholic School</t>
  </si>
  <si>
    <t>D122</t>
  </si>
  <si>
    <t>ResCare Residential Program</t>
  </si>
  <si>
    <t>A119</t>
  </si>
  <si>
    <t xml:space="preserve">Dana Christian School </t>
  </si>
  <si>
    <t>D715</t>
  </si>
  <si>
    <t>Bible Baptist Academy</t>
  </si>
  <si>
    <t>D705</t>
  </si>
  <si>
    <t>D725</t>
  </si>
  <si>
    <t>D720</t>
  </si>
  <si>
    <t>D676</t>
  </si>
  <si>
    <t>Small World Learning Center</t>
  </si>
  <si>
    <t>D755</t>
  </si>
  <si>
    <t>Terre Haute Montessori School</t>
  </si>
  <si>
    <t>D750</t>
  </si>
  <si>
    <t>The Learning Tree</t>
  </si>
  <si>
    <t>D802</t>
  </si>
  <si>
    <t>Emmanuel Christian School</t>
  </si>
  <si>
    <t>D805</t>
  </si>
  <si>
    <t>Saint Bernard Elementary School</t>
  </si>
  <si>
    <t>D489</t>
  </si>
  <si>
    <t>Evansville Christian Sch Newburgh</t>
  </si>
  <si>
    <t>D592</t>
  </si>
  <si>
    <t>Optimal Rhythms Inc/ACCESS Academy</t>
  </si>
  <si>
    <t>D815</t>
  </si>
  <si>
    <t>D818</t>
  </si>
  <si>
    <t>East Salem Parochial School</t>
  </si>
  <si>
    <t>D829</t>
  </si>
  <si>
    <t>Elk Creek Parochial School</t>
  </si>
  <si>
    <t>D828</t>
  </si>
  <si>
    <t>Southern Hills Mennonite School</t>
  </si>
  <si>
    <t>D813</t>
  </si>
  <si>
    <t>Twin Oaks Amish School</t>
  </si>
  <si>
    <t>D823</t>
  </si>
  <si>
    <t>Center View Amish School</t>
  </si>
  <si>
    <t>D809</t>
  </si>
  <si>
    <t>Hinshaw Parochial School</t>
  </si>
  <si>
    <t>D814</t>
  </si>
  <si>
    <t>Indian Hill School</t>
  </si>
  <si>
    <t>B335</t>
  </si>
  <si>
    <t>Locust Grove School</t>
  </si>
  <si>
    <t>D895</t>
  </si>
  <si>
    <t>Martin Dale School</t>
  </si>
  <si>
    <t>A037</t>
  </si>
  <si>
    <t xml:space="preserve">Rabbit Ridge School  </t>
  </si>
  <si>
    <t>D896</t>
  </si>
  <si>
    <t>Shady Maple School</t>
  </si>
  <si>
    <t>D824</t>
  </si>
  <si>
    <t>Sugar Grove Amish School</t>
  </si>
  <si>
    <t>D822</t>
  </si>
  <si>
    <t>Sunrise School</t>
  </si>
  <si>
    <t>D825</t>
  </si>
  <si>
    <t>Walnut Level School</t>
  </si>
  <si>
    <t>D892</t>
  </si>
  <si>
    <t>Willow View</t>
  </si>
  <si>
    <t>B636</t>
  </si>
  <si>
    <t>Symonds Creek School</t>
  </si>
  <si>
    <t>D831</t>
  </si>
  <si>
    <t>Deer Run School</t>
  </si>
  <si>
    <t>D833</t>
  </si>
  <si>
    <t>Meadow Creek</t>
  </si>
  <si>
    <t>D894</t>
  </si>
  <si>
    <t>Shady Glen School</t>
  </si>
  <si>
    <t>D862</t>
  </si>
  <si>
    <t>Community Christian School</t>
  </si>
  <si>
    <t>D849</t>
  </si>
  <si>
    <t>Richmond Friends School</t>
  </si>
  <si>
    <t>D840</t>
  </si>
  <si>
    <t>Seton Catholic Elementary</t>
  </si>
  <si>
    <t>D842</t>
  </si>
  <si>
    <t>Seton Catholic High School</t>
  </si>
  <si>
    <t>D827</t>
  </si>
  <si>
    <t>Wernle Yth &amp; Fmly Trtmnt Cnt Inc</t>
  </si>
  <si>
    <t>D865</t>
  </si>
  <si>
    <t>Bethlehem Lutheran School</t>
  </si>
  <si>
    <t>D875</t>
  </si>
  <si>
    <t>Kingdom Academy of Bluffton Inc</t>
  </si>
  <si>
    <t>D874</t>
  </si>
  <si>
    <t>Spring Meadow School</t>
  </si>
  <si>
    <t>D876</t>
  </si>
  <si>
    <t>Wesleyan Heritage Academy</t>
  </si>
  <si>
    <t>D882</t>
  </si>
  <si>
    <t>Cornerstone Private School</t>
  </si>
  <si>
    <t>D907</t>
  </si>
  <si>
    <t>T.R.O.Y. Center</t>
  </si>
  <si>
    <t>Nonpublic School</t>
  </si>
  <si>
    <t>Total Budget</t>
  </si>
  <si>
    <t>Title II-A Nonpublic School(s) Worksheet</t>
  </si>
  <si>
    <r>
      <rPr>
        <b/>
        <sz val="10"/>
        <color theme="0"/>
        <rFont val="Century Gothic"/>
        <family val="2"/>
      </rPr>
      <t>Directions:</t>
    </r>
    <r>
      <rPr>
        <b/>
        <sz val="9"/>
        <color theme="0"/>
        <rFont val="Century Gothic"/>
        <family val="2"/>
      </rPr>
      <t xml:space="preserve"> Please choose the nonpublic school from the drop down menu. Referencing their section of the application, provide a short activity description in the second column. In the third column "Budget Category" please use the dropdown menu to select the appropriate category for the desciption. In the last column, please enter the amount the non-pub has allocated to that activity. If a non-pub has more than one activity, list them on separate lines. Please check the total for each nonpublic school below the Budget Category Reference table. </t>
    </r>
  </si>
  <si>
    <r>
      <t xml:space="preserve">ESSA emphasizes effectiveness through the use of evidence-based requirements for professional development and class-size reduction. Please note that all criteria included in the tables are </t>
    </r>
    <r>
      <rPr>
        <b/>
        <i/>
        <sz val="9"/>
        <color theme="0"/>
        <rFont val="Century Gothic"/>
        <family val="2"/>
      </rPr>
      <t>NOT</t>
    </r>
    <r>
      <rPr>
        <b/>
        <sz val="9"/>
        <color theme="0"/>
        <rFont val="Century Gothic"/>
        <family val="2"/>
      </rPr>
      <t xml:space="preserve"> required to be met in order for Title II-A applications to be approved. Rather, the criteria should serve as considerations as you develop your plans moving forward. </t>
    </r>
  </si>
  <si>
    <t>Criteria for Successful Professional Development:</t>
  </si>
  <si>
    <t>Criteria for Successful Class-size Reduction:</t>
  </si>
  <si>
    <t>• A focus on higher order, subject-matter content and pedagogy of how students learn content;
• Involving teachers in inquiry-oriented learning approaches (e.g., observing and receiving feedback; analyzing
          student work);
• Grouping teachers from the same grade or subject for collaborative learning;
• Aligning activities with other professional development and school curricula; and
• Collecting data on at least one measure of each program objective</t>
  </si>
  <si>
    <t>• A focus on the early grades (K-3);
• Limiting the class to no more than 18 students to produce the greatest benefits;
• Spanning reduction across K-3 rather than only one or two of the primary grades;
• Targeting minority or low-income students in order to realize greater gains;
• Combining class-size reduction with meaningful preparation of experienced teachers; and
• Delivering supports, such as professional development and a rigorous curriculum, alongside reduction programs</t>
  </si>
  <si>
    <r>
      <rPr>
        <b/>
        <sz val="11"/>
        <color theme="1"/>
        <rFont val="Calibri"/>
        <family val="2"/>
        <scheme val="minor"/>
      </rPr>
      <t>Consultation</t>
    </r>
    <r>
      <rPr>
        <sz val="11"/>
        <color theme="1"/>
        <rFont val="Calibri"/>
        <family val="2"/>
        <scheme val="minor"/>
      </rPr>
      <t xml:space="preserve">
</t>
    </r>
    <r>
      <rPr>
        <i/>
        <sz val="11"/>
        <color theme="1"/>
        <rFont val="Calibri"/>
        <family val="2"/>
        <scheme val="minor"/>
      </rPr>
      <t xml:space="preserve">Identify the stakeholders that were consulted to design the Title II-A plan </t>
    </r>
  </si>
  <si>
    <t xml:space="preserve">An LEA must complete an assessment of local needs to ensure that Title II-A interventions are more likely to result in sustained, improved outcomes for students. This Comprehensive Needs Assessment (CNA) must ensure that chosen interventions are aligned with local needs, the evidence base and local capacity are considered when selecting a strategy, a robust implementation plan exists with adequate resources, and reflection informs next steps.  [Section 2101].  </t>
  </si>
  <si>
    <t>Select your corporation number above to autopopulate data.</t>
  </si>
  <si>
    <r>
      <t xml:space="preserve">Evidence of Progress: </t>
    </r>
    <r>
      <rPr>
        <sz val="11"/>
        <rFont val="Calibri"/>
        <family val="2"/>
        <scheme val="minor"/>
      </rPr>
      <t>Identify the data sources and measures that will be used to support continuous improvement and to ensure evidence-based implementation</t>
    </r>
  </si>
  <si>
    <r>
      <t>DUE DATE: 1</t>
    </r>
    <r>
      <rPr>
        <b/>
        <vertAlign val="superscript"/>
        <sz val="11"/>
        <color theme="1"/>
        <rFont val="Calibri"/>
        <family val="2"/>
        <scheme val="minor"/>
      </rPr>
      <t>st</t>
    </r>
    <r>
      <rPr>
        <b/>
        <sz val="11"/>
        <color theme="1"/>
        <rFont val="Calibri"/>
        <family val="2"/>
        <scheme val="minor"/>
      </rPr>
      <t xml:space="preserve"> and 15</t>
    </r>
    <r>
      <rPr>
        <b/>
        <vertAlign val="superscript"/>
        <sz val="11"/>
        <color theme="1"/>
        <rFont val="Calibri"/>
        <family val="2"/>
        <scheme val="minor"/>
      </rPr>
      <t>th</t>
    </r>
    <r>
      <rPr>
        <b/>
        <sz val="11"/>
        <color theme="1"/>
        <rFont val="Calibri"/>
        <family val="2"/>
        <scheme val="minor"/>
      </rPr>
      <t xml:space="preserve"> of Each Month</t>
    </r>
  </si>
  <si>
    <t>Title II-A Public LEA Systems Alignment</t>
  </si>
  <si>
    <t>Completion Instructions</t>
  </si>
  <si>
    <t xml:space="preserve"> Total</t>
  </si>
  <si>
    <t>Directions: Please enter details for each activity under Activity Description. Choose the corresponding Category using the drop down menu. Under Budget Category, please use the drop down menu to select the corresponding budget category.</t>
  </si>
  <si>
    <t>Total Nonpublic Budget</t>
  </si>
  <si>
    <t>Total Nonpublic Allocation</t>
  </si>
  <si>
    <t xml:space="preserve">Equitable Share Allocation: </t>
  </si>
  <si>
    <t>Enter amount of transfer to Title I-A (FFY2021)</t>
  </si>
  <si>
    <t>Enter amount of transfer to Title I-A (FFY2022)</t>
  </si>
  <si>
    <t>Enter amount of transfer to Title III-A (FFY2021)</t>
  </si>
  <si>
    <t>Enter amount of transfer to Title III-A (FFY2022)</t>
  </si>
  <si>
    <t>Enter amount of transfer to Title IV-A (FFY2021)</t>
  </si>
  <si>
    <t>Enter amount of transfer to Title IV-A (FFY2022)</t>
  </si>
  <si>
    <r>
      <t>Award Name:</t>
    </r>
    <r>
      <rPr>
        <sz val="10"/>
        <color rgb="FF000000"/>
        <rFont val="Calibri"/>
        <family val="2"/>
        <scheme val="minor"/>
      </rPr>
      <t xml:space="preserve"> FFY2021 Title II-A Supporting Effective Instruction</t>
    </r>
  </si>
  <si>
    <t>Federal Program Title: Title II-A Improving Teacher Quality FFY2021 Reimbursement Form</t>
  </si>
  <si>
    <t>10 Copies of mentor text to improve reading instruction</t>
  </si>
  <si>
    <t>10 copies of mentor texts to improve reading instruction</t>
  </si>
  <si>
    <t>Total Amount of Transfers to other Federal grants</t>
  </si>
  <si>
    <t>Total Amount of Transfer in from other Federal Grants</t>
  </si>
  <si>
    <t>Equitable Share of Transfer In</t>
  </si>
  <si>
    <t>Administration (Optional; maximum 3% of total allocation)</t>
  </si>
  <si>
    <t>Total for Nonpublic Schools</t>
  </si>
  <si>
    <t>Total Allocation Available for Activities</t>
  </si>
  <si>
    <t>Please use the Title II email for future correspondence, including budget amendments.</t>
  </si>
  <si>
    <t>Title I-A (FFY2021)</t>
  </si>
  <si>
    <t>Title I-A (FFY2022)</t>
  </si>
  <si>
    <t>Title III-A (FFY2021)</t>
  </si>
  <si>
    <t>Title III-A (FFY2022)</t>
  </si>
  <si>
    <t>Title IV-A (FFY2021)</t>
  </si>
  <si>
    <t>Title IV-A (FFY2022)</t>
  </si>
  <si>
    <t>Amount of Administration to be used:</t>
  </si>
  <si>
    <t>Transfer Funds Reimbursements</t>
  </si>
  <si>
    <t>Please note all reimbursements for transferred funds must be requested through the original grant. 
For example, if funds have been transferred from Title IV-A to Title II-A, although the funds are budgeted within Title II-A, the reimbursement for the expenditures up to the transfer total must be requested through the Title IV-A Reimbursement Form. 
Likewise, if funds are being transferred from Title II-A to Title I-A, Title III-A, or other federal grant programs, the reimbursement for expenditures up to the transfer total would be requested via the Title II-A Reimbursement Form (this or Amendment Reimbursement tabs).</t>
  </si>
  <si>
    <t>Title II-A Nonpublic School(s) Amendment #4</t>
  </si>
  <si>
    <t>Title II-A Public LEA Amendment #4 Worksheet</t>
  </si>
  <si>
    <t>Title II-A Amendment #4 Budget</t>
  </si>
  <si>
    <t>6. Nonpublic Equitable Share</t>
  </si>
  <si>
    <t xml:space="preserve">          Nonpublic Activities</t>
  </si>
  <si>
    <t xml:space="preserve">          Admin</t>
  </si>
  <si>
    <t xml:space="preserve">          Indirect Cost</t>
  </si>
  <si>
    <t>Total Approved Budget</t>
  </si>
  <si>
    <t xml:space="preserve">Total Available </t>
  </si>
  <si>
    <t>Less funds transferred to FFY2021 Title II-A</t>
  </si>
  <si>
    <t>Ex: Sample Nonpublic School</t>
  </si>
  <si>
    <r>
      <rPr>
        <b/>
        <sz val="10"/>
        <color theme="0"/>
        <rFont val="Century Gothic"/>
        <family val="2"/>
      </rPr>
      <t>Directions:</t>
    </r>
    <r>
      <rPr>
        <b/>
        <sz val="9"/>
        <color theme="0"/>
        <rFont val="Century Gothic"/>
        <family val="2"/>
      </rPr>
      <t xml:space="preserve"> </t>
    </r>
    <r>
      <rPr>
        <b/>
        <i/>
        <sz val="9"/>
        <color rgb="FFFFFF00"/>
        <rFont val="Century Gothic"/>
        <family val="2"/>
      </rPr>
      <t>Please copy and paste all activites from the Nonpub Activites activity section into the activities section of this sheet.</t>
    </r>
    <r>
      <rPr>
        <b/>
        <sz val="9"/>
        <color theme="0"/>
        <rFont val="Century Gothic"/>
        <family val="2"/>
      </rPr>
      <t xml:space="preserve"> Once that has been completed, you may then revise Activity Descriptions, Budget Category and Total as applicable. </t>
    </r>
  </si>
  <si>
    <r>
      <rPr>
        <b/>
        <sz val="10"/>
        <color theme="0"/>
        <rFont val="Century Gothic"/>
        <family val="2"/>
      </rPr>
      <t>Directions:</t>
    </r>
    <r>
      <rPr>
        <b/>
        <sz val="9"/>
        <color theme="0"/>
        <rFont val="Century Gothic"/>
        <family val="2"/>
      </rPr>
      <t xml:space="preserve"> </t>
    </r>
    <r>
      <rPr>
        <b/>
        <i/>
        <sz val="9"/>
        <color rgb="FFFFFF00"/>
        <rFont val="Century Gothic"/>
        <family val="2"/>
      </rPr>
      <t>Please copy and paste all activites from Amendment #1 NPS Activites activity section into the activities section of this sheet.</t>
    </r>
    <r>
      <rPr>
        <b/>
        <sz val="9"/>
        <color theme="0"/>
        <rFont val="Century Gothic"/>
        <family val="2"/>
      </rPr>
      <t xml:space="preserve"> Once that has been completed, you may then revise Activity Descriptions, Budget Category and Total as applicable. </t>
    </r>
  </si>
  <si>
    <r>
      <rPr>
        <b/>
        <sz val="10"/>
        <color theme="0"/>
        <rFont val="Century Gothic"/>
        <family val="2"/>
      </rPr>
      <t>Directions:</t>
    </r>
    <r>
      <rPr>
        <b/>
        <sz val="9"/>
        <color theme="0"/>
        <rFont val="Century Gothic"/>
        <family val="2"/>
      </rPr>
      <t xml:space="preserve"> </t>
    </r>
    <r>
      <rPr>
        <b/>
        <i/>
        <sz val="9"/>
        <color rgb="FFFFFF00"/>
        <rFont val="Century Gothic"/>
        <family val="2"/>
      </rPr>
      <t>Please copy and paste all activites from Amendment #2 NPS Activites activity section into the activities section of this sheet.</t>
    </r>
    <r>
      <rPr>
        <b/>
        <sz val="9"/>
        <color theme="0"/>
        <rFont val="Century Gothic"/>
        <family val="2"/>
      </rPr>
      <t xml:space="preserve"> Once that has been completed, you may then revise Activity Descriptions, Budget Category and Total as applicable. </t>
    </r>
  </si>
  <si>
    <t xml:space="preserve"> - 09/30/23       </t>
  </si>
  <si>
    <t xml:space="preserve"> - 09/30/23      </t>
  </si>
  <si>
    <r>
      <rPr>
        <b/>
        <sz val="10"/>
        <color theme="1"/>
        <rFont val="Calibri"/>
        <family val="2"/>
      </rPr>
      <t>Award Number:</t>
    </r>
    <r>
      <rPr>
        <sz val="10"/>
        <color theme="1"/>
        <rFont val="Calibri"/>
        <family val="2"/>
      </rPr>
      <t xml:space="preserve"> S367A210013</t>
    </r>
  </si>
  <si>
    <t>Nonpublic Enrollment</t>
  </si>
  <si>
    <t xml:space="preserve"> - 09/30/23     </t>
  </si>
  <si>
    <t>Title II-A Application Review Sheet FFY2021</t>
  </si>
  <si>
    <t>Date of Review:</t>
  </si>
  <si>
    <t>Reviewed by:</t>
  </si>
  <si>
    <t>Program Administrator</t>
  </si>
  <si>
    <t>E-mail</t>
  </si>
  <si>
    <t>Telephone</t>
  </si>
  <si>
    <t>Total Allocation</t>
  </si>
  <si>
    <t>Amount of Funds Transferred</t>
  </si>
  <si>
    <t>Percent of Total Allocation Transferred</t>
  </si>
  <si>
    <t>ICR At or Below Approved Amount</t>
  </si>
  <si>
    <t>Admin Amount At or Below 3% Cap</t>
  </si>
  <si>
    <t>Amount Over</t>
  </si>
  <si>
    <t>Category 1</t>
  </si>
  <si>
    <t>Category 2</t>
  </si>
  <si>
    <t>Category 3</t>
  </si>
  <si>
    <t>Nonpublic Schools</t>
  </si>
  <si>
    <t>All nonpublic schools contacted?</t>
  </si>
  <si>
    <t>Public school enrollment provided?</t>
  </si>
  <si>
    <t>Nonpublic school(s) enrollment provided?</t>
  </si>
  <si>
    <t>Nonpublic school(s) not contacted?</t>
  </si>
  <si>
    <t>Notes:</t>
  </si>
  <si>
    <t>Application Revision Contact Log</t>
  </si>
  <si>
    <t>Date Contacted</t>
  </si>
  <si>
    <t>Contact Name</t>
  </si>
  <si>
    <t>Result</t>
  </si>
  <si>
    <t>Revision Completed Date:</t>
  </si>
  <si>
    <t>Choose One:</t>
  </si>
  <si>
    <t>Choose one:</t>
  </si>
  <si>
    <t>FFY2021 Title II-A Amendment #1 Budget Overview</t>
  </si>
  <si>
    <t>FFY2021 Title II-A Amendment #2 Budget Overview</t>
  </si>
  <si>
    <t>FFY2021 Title II-A Amendment #3 Budget Overview</t>
  </si>
  <si>
    <t>FFY2021 Title II-A Amendment #4 Budget Overview</t>
  </si>
  <si>
    <t>Improvement of Instruction</t>
  </si>
  <si>
    <r>
      <t xml:space="preserve">Many fields will auto-populate or auto-calculate as data is entered. Cells specifically in </t>
    </r>
    <r>
      <rPr>
        <b/>
        <sz val="12"/>
        <color theme="1"/>
        <rFont val="Calibri"/>
        <family val="2"/>
        <scheme val="minor"/>
      </rPr>
      <t>gold</t>
    </r>
    <r>
      <rPr>
        <sz val="12"/>
        <color theme="1"/>
        <rFont val="Calibri"/>
        <family val="2"/>
        <scheme val="minor"/>
      </rPr>
      <t xml:space="preserve">, on non-budget related tabs, are to be completed by the LEA.
Certain budgetary-related cells will color code as data is entered: </t>
    </r>
    <r>
      <rPr>
        <b/>
        <sz val="12"/>
        <color theme="1"/>
        <rFont val="Calibri"/>
        <family val="2"/>
        <scheme val="minor"/>
      </rPr>
      <t>red</t>
    </r>
    <r>
      <rPr>
        <sz val="12"/>
        <color theme="1"/>
        <rFont val="Calibri"/>
        <family val="2"/>
        <scheme val="minor"/>
      </rPr>
      <t xml:space="preserve"> means the figure does not match the allocation amount; </t>
    </r>
    <r>
      <rPr>
        <b/>
        <sz val="12"/>
        <color theme="1"/>
        <rFont val="Calibri"/>
        <family val="2"/>
        <scheme val="minor"/>
      </rPr>
      <t>green</t>
    </r>
    <r>
      <rPr>
        <sz val="12"/>
        <color theme="1"/>
        <rFont val="Calibri"/>
        <family val="2"/>
        <scheme val="minor"/>
      </rPr>
      <t xml:space="preserve"> means the figures meet requirements for that part of the application.
Red triangles in certain cells designates a note that is accessible by hovering over the cell.</t>
    </r>
  </si>
  <si>
    <t>Total Available</t>
  </si>
  <si>
    <t>Title II Preliminary FY21</t>
  </si>
  <si>
    <t>(includes py adjustments between preliminary and final not previously allocated to New and Expanded Charters)</t>
  </si>
  <si>
    <t>ID</t>
  </si>
  <si>
    <t>Adj Amount for FY20 Preliminary vs Final Allocation</t>
  </si>
  <si>
    <t>Title II FFY 21 Total Preliminary Allocation</t>
  </si>
  <si>
    <t>0015</t>
  </si>
  <si>
    <t>0025</t>
  </si>
  <si>
    <t>0035</t>
  </si>
  <si>
    <t>0125</t>
  </si>
  <si>
    <t>MSD Southwest Allen County Schls</t>
  </si>
  <si>
    <t>0225</t>
  </si>
  <si>
    <t>0235</t>
  </si>
  <si>
    <t>0255</t>
  </si>
  <si>
    <t>0365</t>
  </si>
  <si>
    <t>Bartholomew Con School Corp</t>
  </si>
  <si>
    <t>0370</t>
  </si>
  <si>
    <t>0395</t>
  </si>
  <si>
    <t>0515</t>
  </si>
  <si>
    <t>0615</t>
  </si>
  <si>
    <t>0630</t>
  </si>
  <si>
    <t>0665</t>
  </si>
  <si>
    <t>0670</t>
  </si>
  <si>
    <t>0750</t>
  </si>
  <si>
    <t>Carroll Consolidated School Corp</t>
  </si>
  <si>
    <t>0755</t>
  </si>
  <si>
    <t>0775</t>
  </si>
  <si>
    <t>0815</t>
  </si>
  <si>
    <t xml:space="preserve">Lewis Cass Schools </t>
  </si>
  <si>
    <t>0875</t>
  </si>
  <si>
    <t>0935</t>
  </si>
  <si>
    <t>Henryville/Borden</t>
  </si>
  <si>
    <t>0945</t>
  </si>
  <si>
    <t>Silvercreek</t>
  </si>
  <si>
    <t>1000</t>
  </si>
  <si>
    <t>Clarksville Community School Corp</t>
  </si>
  <si>
    <t>1010</t>
  </si>
  <si>
    <t>1125</t>
  </si>
  <si>
    <t>1150</t>
  </si>
  <si>
    <t>Clinton Central School Corporation</t>
  </si>
  <si>
    <t>1160</t>
  </si>
  <si>
    <t>Clinton Prairie School Corporation</t>
  </si>
  <si>
    <t>1170</t>
  </si>
  <si>
    <t>1180</t>
  </si>
  <si>
    <t>1300</t>
  </si>
  <si>
    <t>Crawford County Community Sch Corp</t>
  </si>
  <si>
    <t>1315</t>
  </si>
  <si>
    <t>Barr-Reeve Community Schools Inc</t>
  </si>
  <si>
    <t>1375</t>
  </si>
  <si>
    <t>1405</t>
  </si>
  <si>
    <t>Washington Community Schools</t>
  </si>
  <si>
    <t>1560</t>
  </si>
  <si>
    <t>1600</t>
  </si>
  <si>
    <t>South Dearborn Community Sch Corp</t>
  </si>
  <si>
    <t>1620</t>
  </si>
  <si>
    <t>Lawrenceburg Community School Corp</t>
  </si>
  <si>
    <t>1655</t>
  </si>
  <si>
    <t>Decatur County Community Schools</t>
  </si>
  <si>
    <t>1730</t>
  </si>
  <si>
    <t>1805</t>
  </si>
  <si>
    <t>1820</t>
  </si>
  <si>
    <t>Garrett-Keyser-Butler Com Sch Corp</t>
  </si>
  <si>
    <t>1835</t>
  </si>
  <si>
    <t>1875</t>
  </si>
  <si>
    <t>1885</t>
  </si>
  <si>
    <t>1895</t>
  </si>
  <si>
    <t>Liberty-Perry Community Sch Corp</t>
  </si>
  <si>
    <t>1900</t>
  </si>
  <si>
    <t>1910</t>
  </si>
  <si>
    <t>1940</t>
  </si>
  <si>
    <t>1970</t>
  </si>
  <si>
    <t>2040</t>
  </si>
  <si>
    <t>2100</t>
  </si>
  <si>
    <t>2110</t>
  </si>
  <si>
    <t>2120</t>
  </si>
  <si>
    <t>Greater Jasper Consolidated Schs</t>
  </si>
  <si>
    <t>2155</t>
  </si>
  <si>
    <t>2260</t>
  </si>
  <si>
    <t>2270</t>
  </si>
  <si>
    <t>2275</t>
  </si>
  <si>
    <t>2285</t>
  </si>
  <si>
    <t>2305</t>
  </si>
  <si>
    <t>2315</t>
  </si>
  <si>
    <t>2395</t>
  </si>
  <si>
    <t>Fayette County School Corporation</t>
  </si>
  <si>
    <t>2400</t>
  </si>
  <si>
    <t>2435</t>
  </si>
  <si>
    <t>Attica Consolidated School Corp</t>
  </si>
  <si>
    <t>2440</t>
  </si>
  <si>
    <t>Covington Community School Corp</t>
  </si>
  <si>
    <t>2455</t>
  </si>
  <si>
    <t>2475</t>
  </si>
  <si>
    <t>Franklin County Community Sch Corp</t>
  </si>
  <si>
    <t>2645</t>
  </si>
  <si>
    <t>Rochester Community School Corp</t>
  </si>
  <si>
    <t>2650</t>
  </si>
  <si>
    <t>2725</t>
  </si>
  <si>
    <t>2735</t>
  </si>
  <si>
    <t>North Gibson School Corporation</t>
  </si>
  <si>
    <t>2765</t>
  </si>
  <si>
    <t>South Gibson School Corporation</t>
  </si>
  <si>
    <t>2815</t>
  </si>
  <si>
    <t>2825</t>
  </si>
  <si>
    <t>Madison-Grant United School Corp</t>
  </si>
  <si>
    <t>2855</t>
  </si>
  <si>
    <t>2865</t>
  </si>
  <si>
    <t>2920</t>
  </si>
  <si>
    <t>2940</t>
  </si>
  <si>
    <t>2950</t>
  </si>
  <si>
    <t>Linton-Stockton School Corporation</t>
  </si>
  <si>
    <t>2960</t>
  </si>
  <si>
    <t>MSD Shakamak Schools</t>
  </si>
  <si>
    <t>2980</t>
  </si>
  <si>
    <t>White River Valley School District</t>
  </si>
  <si>
    <t>3005</t>
  </si>
  <si>
    <t>3025</t>
  </si>
  <si>
    <t>3030</t>
  </si>
  <si>
    <t>3055</t>
  </si>
  <si>
    <t>3060</t>
  </si>
  <si>
    <t>3070</t>
  </si>
  <si>
    <t>3115</t>
  </si>
  <si>
    <t>3125</t>
  </si>
  <si>
    <t>3135</t>
  </si>
  <si>
    <t>Mt Vernon Community School Corp</t>
  </si>
  <si>
    <t>3145</t>
  </si>
  <si>
    <t>3160</t>
  </si>
  <si>
    <t>3180</t>
  </si>
  <si>
    <t>3190</t>
  </si>
  <si>
    <t>3295</t>
  </si>
  <si>
    <t>3305</t>
  </si>
  <si>
    <t>Brownsburg Community School Corp</t>
  </si>
  <si>
    <t>3315</t>
  </si>
  <si>
    <t>Avon Community School Corp</t>
  </si>
  <si>
    <t>3325</t>
  </si>
  <si>
    <t>3330</t>
  </si>
  <si>
    <t>Plainfield Community School Corp</t>
  </si>
  <si>
    <t>3335</t>
  </si>
  <si>
    <t>3405</t>
  </si>
  <si>
    <t>3415</t>
  </si>
  <si>
    <t>3435</t>
  </si>
  <si>
    <t>3445</t>
  </si>
  <si>
    <t>New Castle Community School Corp</t>
  </si>
  <si>
    <t>3455</t>
  </si>
  <si>
    <t>3460</t>
  </si>
  <si>
    <t>3470</t>
  </si>
  <si>
    <t>3480</t>
  </si>
  <si>
    <t>Eastern Howard School Corporation</t>
  </si>
  <si>
    <t>3490</t>
  </si>
  <si>
    <t>Western School Corporation</t>
  </si>
  <si>
    <t>3500</t>
  </si>
  <si>
    <t>3625</t>
  </si>
  <si>
    <t>3640</t>
  </si>
  <si>
    <t>3675</t>
  </si>
  <si>
    <t>3695</t>
  </si>
  <si>
    <t>3710</t>
  </si>
  <si>
    <t>3785</t>
  </si>
  <si>
    <t>3815</t>
  </si>
  <si>
    <t>3945</t>
  </si>
  <si>
    <t>Jay School Corporation</t>
  </si>
  <si>
    <t>3995</t>
  </si>
  <si>
    <t>4000</t>
  </si>
  <si>
    <t>4015</t>
  </si>
  <si>
    <t>Jennings County School Corporation</t>
  </si>
  <si>
    <t>4145</t>
  </si>
  <si>
    <t>Clark-Pleasant Community Sch Corp</t>
  </si>
  <si>
    <t>4205</t>
  </si>
  <si>
    <t>Center Grove Community School Corp</t>
  </si>
  <si>
    <t>4215</t>
  </si>
  <si>
    <t>Edinburgh Community School Corp</t>
  </si>
  <si>
    <t>4225</t>
  </si>
  <si>
    <t>4245</t>
  </si>
  <si>
    <t>4255</t>
  </si>
  <si>
    <t>4315</t>
  </si>
  <si>
    <t>4325</t>
  </si>
  <si>
    <t>4335</t>
  </si>
  <si>
    <t>Vincennes Community School Corp</t>
  </si>
  <si>
    <t>4345</t>
  </si>
  <si>
    <t>4415</t>
  </si>
  <si>
    <t>4445</t>
  </si>
  <si>
    <t>4455</t>
  </si>
  <si>
    <t>4515</t>
  </si>
  <si>
    <t>Prairie Heights Community Sch Corp</t>
  </si>
  <si>
    <t>4525</t>
  </si>
  <si>
    <t>4535</t>
  </si>
  <si>
    <t>4580</t>
  </si>
  <si>
    <t>4590</t>
  </si>
  <si>
    <t>4600</t>
  </si>
  <si>
    <t>Merrillville Community School Corp</t>
  </si>
  <si>
    <t>4615</t>
  </si>
  <si>
    <t>Lake Central School Corporation</t>
  </si>
  <si>
    <t>4645</t>
  </si>
  <si>
    <t>4650</t>
  </si>
  <si>
    <t>Lake Ridge New Tech Schools</t>
  </si>
  <si>
    <t>4660</t>
  </si>
  <si>
    <t>Crown Point Community School Corp</t>
  </si>
  <si>
    <t>4670</t>
  </si>
  <si>
    <t>4680</t>
  </si>
  <si>
    <t>4690</t>
  </si>
  <si>
    <t>4700</t>
  </si>
  <si>
    <t>4710</t>
  </si>
  <si>
    <t>4720</t>
  </si>
  <si>
    <t>4730</t>
  </si>
  <si>
    <t>4740</t>
  </si>
  <si>
    <t>4760</t>
  </si>
  <si>
    <t>School City of Whiting</t>
  </si>
  <si>
    <t>4805</t>
  </si>
  <si>
    <t>4860</t>
  </si>
  <si>
    <t>MSD of New Durham Township</t>
  </si>
  <si>
    <t>4915</t>
  </si>
  <si>
    <t>4925</t>
  </si>
  <si>
    <t>4940</t>
  </si>
  <si>
    <t>4945</t>
  </si>
  <si>
    <t>5075</t>
  </si>
  <si>
    <t>5085</t>
  </si>
  <si>
    <t>5245</t>
  </si>
  <si>
    <t>Frankton-Lapel Community Schools</t>
  </si>
  <si>
    <t>5255</t>
  </si>
  <si>
    <t>5265</t>
  </si>
  <si>
    <t>Alexandria Community School Corp</t>
  </si>
  <si>
    <t>5275</t>
  </si>
  <si>
    <t>5280</t>
  </si>
  <si>
    <t>5300</t>
  </si>
  <si>
    <t>MSD Decatur Township</t>
  </si>
  <si>
    <t>5310</t>
  </si>
  <si>
    <t>5330</t>
  </si>
  <si>
    <t>MSD Lawrence Township</t>
  </si>
  <si>
    <t>5340</t>
  </si>
  <si>
    <t>5350</t>
  </si>
  <si>
    <t>MSD Pike Township</t>
  </si>
  <si>
    <t>5360</t>
  </si>
  <si>
    <t>MSD Warren Township</t>
  </si>
  <si>
    <t>5370</t>
  </si>
  <si>
    <t>MSD Washington Township</t>
  </si>
  <si>
    <t>5375</t>
  </si>
  <si>
    <t>MSD Wayne Township</t>
  </si>
  <si>
    <t>5380</t>
  </si>
  <si>
    <t>5385</t>
  </si>
  <si>
    <t>5400</t>
  </si>
  <si>
    <t>5455</t>
  </si>
  <si>
    <t>5470</t>
  </si>
  <si>
    <t>5480</t>
  </si>
  <si>
    <t>5485</t>
  </si>
  <si>
    <t>5495</t>
  </si>
  <si>
    <t>5520</t>
  </si>
  <si>
    <t>5525</t>
  </si>
  <si>
    <t>5615</t>
  </si>
  <si>
    <t>5620</t>
  </si>
  <si>
    <t>5625</t>
  </si>
  <si>
    <t>5635</t>
  </si>
  <si>
    <t>5705</t>
  </si>
  <si>
    <t>5740</t>
  </si>
  <si>
    <t>Monroe County Community Sch Corp</t>
  </si>
  <si>
    <t>5835</t>
  </si>
  <si>
    <t>5845</t>
  </si>
  <si>
    <t>5855</t>
  </si>
  <si>
    <t>Crawfordsville Community Schools</t>
  </si>
  <si>
    <t>5900</t>
  </si>
  <si>
    <t>5910</t>
  </si>
  <si>
    <t>5925</t>
  </si>
  <si>
    <t>MSD Martinsville Schools</t>
  </si>
  <si>
    <t>5930</t>
  </si>
  <si>
    <t>5945</t>
  </si>
  <si>
    <t>5995</t>
  </si>
  <si>
    <t>6055</t>
  </si>
  <si>
    <t>6060</t>
  </si>
  <si>
    <t>East Noble School Corporation</t>
  </si>
  <si>
    <t>6065</t>
  </si>
  <si>
    <t>6080</t>
  </si>
  <si>
    <t>6145</t>
  </si>
  <si>
    <t>6155</t>
  </si>
  <si>
    <t>6160</t>
  </si>
  <si>
    <t>6195</t>
  </si>
  <si>
    <t>6260</t>
  </si>
  <si>
    <t>6325</t>
  </si>
  <si>
    <t>6340</t>
  </si>
  <si>
    <t>6350</t>
  </si>
  <si>
    <t>6375</t>
  </si>
  <si>
    <t>6445</t>
  </si>
  <si>
    <t>6460</t>
  </si>
  <si>
    <t>MSD Boone Township</t>
  </si>
  <si>
    <t>6470</t>
  </si>
  <si>
    <t>6510</t>
  </si>
  <si>
    <t>6520</t>
  </si>
  <si>
    <t>6530</t>
  </si>
  <si>
    <t>6550</t>
  </si>
  <si>
    <t>6560</t>
  </si>
  <si>
    <t>6590</t>
  </si>
  <si>
    <t>MSD Mount Vernon</t>
  </si>
  <si>
    <t>6600</t>
  </si>
  <si>
    <t>MSD North Posey Co Schools</t>
  </si>
  <si>
    <t>6620</t>
  </si>
  <si>
    <t>Eastern Pulaski Community Sch Corp</t>
  </si>
  <si>
    <t>6630</t>
  </si>
  <si>
    <t>6705</t>
  </si>
  <si>
    <t>6715</t>
  </si>
  <si>
    <t>6750</t>
  </si>
  <si>
    <t>6755</t>
  </si>
  <si>
    <t>Greencastle Community School Corp</t>
  </si>
  <si>
    <t>6795</t>
  </si>
  <si>
    <t>6805</t>
  </si>
  <si>
    <t>6820</t>
  </si>
  <si>
    <t>6825</t>
  </si>
  <si>
    <t>6835</t>
  </si>
  <si>
    <t>6865</t>
  </si>
  <si>
    <t>6895</t>
  </si>
  <si>
    <t>Batesville Community School Corp</t>
  </si>
  <si>
    <t>6900</t>
  </si>
  <si>
    <t>6910</t>
  </si>
  <si>
    <t>6995</t>
  </si>
  <si>
    <t>7150</t>
  </si>
  <si>
    <t>7175</t>
  </si>
  <si>
    <t>Penn-Harris-Madison School Corp</t>
  </si>
  <si>
    <t>7200</t>
  </si>
  <si>
    <t>7205</t>
  </si>
  <si>
    <t>South Bend Community School Corp</t>
  </si>
  <si>
    <t>7215</t>
  </si>
  <si>
    <t>7230</t>
  </si>
  <si>
    <t>7255</t>
  </si>
  <si>
    <t>7285</t>
  </si>
  <si>
    <t>7350</t>
  </si>
  <si>
    <t>7360</t>
  </si>
  <si>
    <t>7365</t>
  </si>
  <si>
    <t>7385</t>
  </si>
  <si>
    <t>7445</t>
  </si>
  <si>
    <t>7495</t>
  </si>
  <si>
    <t>7515</t>
  </si>
  <si>
    <t>7525</t>
  </si>
  <si>
    <t>7605</t>
  </si>
  <si>
    <t>7610</t>
  </si>
  <si>
    <t>7615</t>
  </si>
  <si>
    <t>MSD Steuben County</t>
  </si>
  <si>
    <t>7645</t>
  </si>
  <si>
    <t>7715</t>
  </si>
  <si>
    <t>Southwest School Corporation</t>
  </si>
  <si>
    <t>7775</t>
  </si>
  <si>
    <t>7855</t>
  </si>
  <si>
    <t>7865</t>
  </si>
  <si>
    <t>7875</t>
  </si>
  <si>
    <t>7935</t>
  </si>
  <si>
    <t>7945</t>
  </si>
  <si>
    <t>7950</t>
  </si>
  <si>
    <t>7995</t>
  </si>
  <si>
    <t>Evansville Vanderburgh School Corp</t>
  </si>
  <si>
    <t>8010</t>
  </si>
  <si>
    <t>8020</t>
  </si>
  <si>
    <t>8030</t>
  </si>
  <si>
    <t>8045</t>
  </si>
  <si>
    <t>8050</t>
  </si>
  <si>
    <t>MSD Wabash County Schools</t>
  </si>
  <si>
    <t>8060</t>
  </si>
  <si>
    <t>8115</t>
  </si>
  <si>
    <t>MSD Warren County</t>
  </si>
  <si>
    <t>8130</t>
  </si>
  <si>
    <t>8205</t>
  </si>
  <si>
    <t>8215</t>
  </si>
  <si>
    <t>8220</t>
  </si>
  <si>
    <t>8305</t>
  </si>
  <si>
    <t>Nettle Creek School Corporation</t>
  </si>
  <si>
    <t>8355</t>
  </si>
  <si>
    <t>8360</t>
  </si>
  <si>
    <t>8375</t>
  </si>
  <si>
    <t>8385</t>
  </si>
  <si>
    <t>8425</t>
  </si>
  <si>
    <t>8435</t>
  </si>
  <si>
    <t>Northern Wells Community Schools</t>
  </si>
  <si>
    <t>8445</t>
  </si>
  <si>
    <t>MSD Bluffton-Harrison</t>
  </si>
  <si>
    <t>8515</t>
  </si>
  <si>
    <t>8525</t>
  </si>
  <si>
    <t>8535</t>
  </si>
  <si>
    <t>Tri-County School Corporation</t>
  </si>
  <si>
    <t>8565</t>
  </si>
  <si>
    <t>8625</t>
  </si>
  <si>
    <t>8665</t>
  </si>
  <si>
    <t>Whitley County Con Schools</t>
  </si>
  <si>
    <t>Purdue Polytechnic High Sch North</t>
  </si>
  <si>
    <t>Invent Learning Hub</t>
  </si>
  <si>
    <t>PLA at George H Fisher School 93</t>
  </si>
  <si>
    <t>Dynamic Minds Academy</t>
  </si>
  <si>
    <t>James and Rosemary Phalen Leadersh</t>
  </si>
  <si>
    <t>Phalen Leadership Academy at Franc</t>
  </si>
  <si>
    <t>Purdue Polytechnic High School Sou</t>
  </si>
  <si>
    <t>GEO Next Generation Academy</t>
  </si>
  <si>
    <t>The PATH School</t>
  </si>
  <si>
    <t>HIM By HER Collegiate School for t</t>
  </si>
  <si>
    <t>Phalen Virtual Leadership Academy</t>
  </si>
  <si>
    <t xml:space="preserve">Ignite Achievement Academy </t>
  </si>
  <si>
    <t>Purdue Polytechnic High School Ind</t>
  </si>
  <si>
    <t>Otwell Miller Academy</t>
  </si>
  <si>
    <t>Indiana Connections Career Academy</t>
  </si>
  <si>
    <t>Avondale Meadows Middle School</t>
  </si>
  <si>
    <t>James &amp; Rosemary Phalen Leadership</t>
  </si>
  <si>
    <t>Excel Center - Clarksville</t>
  </si>
  <si>
    <t>Paramount Cottage Home</t>
  </si>
  <si>
    <t>Allegiant Preparatory Academy</t>
  </si>
  <si>
    <t>Vanguard Collegiate of Indy</t>
  </si>
  <si>
    <t>pilotED Schools</t>
  </si>
  <si>
    <t xml:space="preserve">Matchbook Learning  </t>
  </si>
  <si>
    <t>Urban ACT Academy</t>
  </si>
  <si>
    <t>Kindezi Academy</t>
  </si>
  <si>
    <t>Insight School of Indiana</t>
  </si>
  <si>
    <t>Adelante Schools</t>
  </si>
  <si>
    <t>KIPP Indy Legacy High</t>
  </si>
  <si>
    <t>BELIEVE Circle City High School</t>
  </si>
  <si>
    <t>Riverside High School</t>
  </si>
  <si>
    <t>Circle City Prep Charter School</t>
  </si>
  <si>
    <t>Excel Center - Muncie</t>
  </si>
  <si>
    <t>Paramount Englewood</t>
  </si>
  <si>
    <t>Rooted School Indianapolis</t>
  </si>
  <si>
    <t xml:space="preserve">Timothy L. Johnson Academy Middle </t>
  </si>
  <si>
    <t>Excel Center - Richmond</t>
  </si>
  <si>
    <t>Charter School of the Dunes</t>
  </si>
  <si>
    <t>Signature School Inc</t>
  </si>
  <si>
    <t>Community Montessori Inc</t>
  </si>
  <si>
    <t>Options Charter Schools</t>
  </si>
  <si>
    <t>Irvington Community School</t>
  </si>
  <si>
    <t>Excel Center - Lafayette Square</t>
  </si>
  <si>
    <t>Excel Center - Lafayette</t>
  </si>
  <si>
    <t>Timothy L Johnson Academy</t>
  </si>
  <si>
    <t>Excel Center - Kokomo</t>
  </si>
  <si>
    <t>Enlace Academy</t>
  </si>
  <si>
    <t>Christel House Academy South</t>
  </si>
  <si>
    <t>Christel House DORS</t>
  </si>
  <si>
    <t>Christel House Academy West</t>
  </si>
  <si>
    <t>KIPP Indy College Prep Middle</t>
  </si>
  <si>
    <t>KIPP Indy Unite Elementary</t>
  </si>
  <si>
    <t>Tindley Genesis Academy</t>
  </si>
  <si>
    <t>Tindley Summit Academy</t>
  </si>
  <si>
    <t>Charles A Tindley Accelerated Sch</t>
  </si>
  <si>
    <t>Thea Bowman Leadership Academy</t>
  </si>
  <si>
    <t>Rural Community Schools Inc</t>
  </si>
  <si>
    <t>SE Neighborhood Sch of Excellence</t>
  </si>
  <si>
    <t>Joshua Academy</t>
  </si>
  <si>
    <t>Indiana Agriculture and Technology</t>
  </si>
  <si>
    <t>Gary Lighthouse Charter School</t>
  </si>
  <si>
    <t>21st Century Charter Sch of Gary</t>
  </si>
  <si>
    <t>East Chicago Urban Enterprise Acad</t>
  </si>
  <si>
    <t>Victory College Prep Academy</t>
  </si>
  <si>
    <t>East Chicago Lighthouse Charter</t>
  </si>
  <si>
    <t>Andrew J Brown Academy</t>
  </si>
  <si>
    <t>Burris Laboratory School</t>
  </si>
  <si>
    <t xml:space="preserve">Indiana Academy for Sci Math Hmn </t>
  </si>
  <si>
    <t>Avondale Meadows Academy</t>
  </si>
  <si>
    <t>Herron Charter</t>
  </si>
  <si>
    <t>The Hope Academy, Inc.</t>
  </si>
  <si>
    <t>Geist Montessori Academy</t>
  </si>
  <si>
    <t>Indianapolis Metropolitan High Sch</t>
  </si>
  <si>
    <t xml:space="preserve">Paramount Brookside </t>
  </si>
  <si>
    <t>Aspire Charter Academy</t>
  </si>
  <si>
    <t>Renaissance Academy Charter School</t>
  </si>
  <si>
    <t>Hammond Academy of Science &amp; Tech</t>
  </si>
  <si>
    <t>Canaan Community Academy</t>
  </si>
  <si>
    <t>Neighbors' New Vistas High School</t>
  </si>
  <si>
    <t>Inspire Academy - A Sch of Inquiry</t>
  </si>
  <si>
    <t>Excel Center - Anderson</t>
  </si>
  <si>
    <t>Smith Academy for Excellence</t>
  </si>
  <si>
    <t>IN Math &amp; Science Academy</t>
  </si>
  <si>
    <t>Anderson Preparatory Academy</t>
  </si>
  <si>
    <t>The Bloomington Project School</t>
  </si>
  <si>
    <t>Excel Center - Noblesville</t>
  </si>
  <si>
    <t>Discovery Charter School</t>
  </si>
  <si>
    <t>Rock Creek Community Academy</t>
  </si>
  <si>
    <t>Career Academy High School</t>
  </si>
  <si>
    <t>Gary Middle College</t>
  </si>
  <si>
    <t>IN Math &amp; Science Academy - North</t>
  </si>
  <si>
    <t>Indiana Connections Academy</t>
  </si>
  <si>
    <t>Excel Center for Adult Learners</t>
  </si>
  <si>
    <t>Damar Charter Academy</t>
  </si>
  <si>
    <t>Phalen Leadership Academy - IN Inc</t>
  </si>
  <si>
    <t>Vision Academy</t>
  </si>
  <si>
    <t>Dugger Union Community School Corp</t>
  </si>
  <si>
    <t>Phalen Leadership Academy at Louis</t>
  </si>
  <si>
    <t>Mays Community Academy</t>
  </si>
  <si>
    <t>Success Academy Primary School</t>
  </si>
  <si>
    <t>Career Academy Middle School</t>
  </si>
  <si>
    <t>ACE Preparatory Academy</t>
  </si>
  <si>
    <t>Global Preparatory Academy</t>
  </si>
  <si>
    <t>Steel City Academy</t>
  </si>
  <si>
    <t>Seven Oaks Classical School</t>
  </si>
  <si>
    <t>Higher Institute of Arts &amp; Tech</t>
  </si>
  <si>
    <t>Excel Center - Shelbyville</t>
  </si>
  <si>
    <r>
      <rPr>
        <b/>
        <sz val="10"/>
        <color rgb="FF000000"/>
        <rFont val="Arial"/>
        <family val="2"/>
      </rPr>
      <t>NEW</t>
    </r>
    <r>
      <rPr>
        <sz val="10"/>
        <color indexed="8"/>
        <rFont val="Arial"/>
        <family val="2"/>
      </rPr>
      <t xml:space="preserve"> Charter Schools on Final FY20 Title - Received on Final Title II FY20 - removed from adjusted amounts</t>
    </r>
  </si>
  <si>
    <r>
      <rPr>
        <b/>
        <sz val="10"/>
        <color rgb="FF000000"/>
        <rFont val="Arial"/>
        <family val="2"/>
      </rPr>
      <t xml:space="preserve">EXPANDED </t>
    </r>
    <r>
      <rPr>
        <sz val="10"/>
        <color indexed="8"/>
        <rFont val="Arial"/>
        <family val="2"/>
      </rPr>
      <t>Charter Schools on Final FY20 Title - Received on Final Title II FY20 - removed from adjusted amounts</t>
    </r>
  </si>
  <si>
    <r>
      <rPr>
        <b/>
        <sz val="10"/>
        <color rgb="FF000000"/>
        <rFont val="Arial"/>
        <family val="2"/>
      </rPr>
      <t>NEW/EXPANDED</t>
    </r>
    <r>
      <rPr>
        <sz val="10"/>
        <color indexed="8"/>
        <rFont val="Arial"/>
        <family val="2"/>
      </rPr>
      <t xml:space="preserve"> from Franks List vs. Kathy's = Used Franks list for these purposes</t>
    </r>
  </si>
  <si>
    <t>Please only submit one (1) electronic copy of the application via Jotform. Please do not use the Title II email to submit your grant, as the large file sizes may prevent IDOE from receiving the file successfully. This email may continue to be used for future correspondence, including budget amendments. The JotForm link may also be found on IDOE Title II-A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</si>
</sst>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7" formatCode="&quot;$&quot;#,##0.00_);\(&quot;$&quot;#,##0.00\)"/>
    <numFmt numFmtId="8" formatCode="&quot;$&quot;#,##0.00_);[Red]\(&quot;$&quot;#,##0.00\)"/>
    <numFmt numFmtId="44" formatCode="_(&quot;$&quot;* #,##0.00_);_(&quot;$&quot;* \(#,##0.00\);_(&quot;$&quot;* &quot;-&quot;??_);_(@_)"/>
    <numFmt numFmtId="43" formatCode="_(* #,##0.00_);_(* \(#,##0.00\);_(* &quot;-&quot;??_);_(@_)"/>
    <numFmt numFmtId="164" formatCode="_(* #,##0_);_(* \(#,##0\);_(* &quot;-&quot;??_);_(@_)"/>
    <numFmt numFmtId="165" formatCode="_([$$-409]* #,##0.00_);_([$$-409]* \(#,##0.00\);_([$$-409]* &quot;-&quot;??_);_(@_)"/>
    <numFmt numFmtId="166" formatCode="mm/dd/yy;@"/>
    <numFmt numFmtId="167" formatCode="0.000000%"/>
    <numFmt numFmtId="168" formatCode="0.000000"/>
    <numFmt numFmtId="169" formatCode="####"/>
    <numFmt numFmtId="170" formatCode="###,###"/>
    <numFmt numFmtId="171" formatCode="[$-409]mmmm\ d\,\ yyyy;@"/>
    <numFmt numFmtId="172" formatCode="###\-###\-####"/>
    <numFmt numFmtId="173" formatCode="&quot;$&quot;###,##0.00_);[Red]\(&quot;$&quot;###,##0.00\)"/>
    <numFmt numFmtId="174" formatCode="&quot;$&quot;0.00;[Red]\(&quot;$&quot;###,###.####\)"/>
    <numFmt numFmtId="175" formatCode="_(&quot;$&quot;* #,##0.0000_);_(&quot;$&quot;* \(#,##0.0000\);_(&quot;$&quot;* &quot;-&quot;??_);_(@_)"/>
    <numFmt numFmtId="176" formatCode="_(&quot;$&quot;* #,##0.0000000000_);_(&quot;$&quot;* \(#,##0.0000000000\);_(&quot;$&quot;* &quot;-&quot;??????????_);_(@_)"/>
  </numFmts>
  <fonts count="7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b/>
      <sz val="11"/>
      <color theme="0"/>
      <name val="Calibri"/>
      <family val="2"/>
      <scheme val="minor"/>
    </font>
    <font>
      <sz val="11"/>
      <color theme="0"/>
      <name val="Calibri"/>
      <family val="2"/>
      <scheme val="minor"/>
    </font>
    <font>
      <b/>
      <sz val="9"/>
      <color theme="0"/>
      <name val="Century Gothic"/>
      <family val="2"/>
    </font>
    <font>
      <b/>
      <sz val="20"/>
      <name val="Century Gothic"/>
      <family val="2"/>
    </font>
    <font>
      <sz val="11"/>
      <color theme="1"/>
      <name val="Century Gothic"/>
      <family val="2"/>
    </font>
    <font>
      <sz val="11"/>
      <name val="Calibri"/>
      <family val="2"/>
      <scheme val="minor"/>
    </font>
    <font>
      <b/>
      <sz val="14"/>
      <color theme="0"/>
      <name val="Calibri"/>
      <family val="2"/>
      <scheme val="minor"/>
    </font>
    <font>
      <b/>
      <sz val="10"/>
      <color theme="0"/>
      <name val="Century Gothic"/>
      <family val="2"/>
    </font>
    <font>
      <b/>
      <sz val="11"/>
      <color theme="1"/>
      <name val="Calibri"/>
      <family val="2"/>
      <scheme val="minor"/>
    </font>
    <font>
      <b/>
      <sz val="14"/>
      <color theme="1"/>
      <name val="Calibri"/>
      <family val="2"/>
      <scheme val="minor"/>
    </font>
    <font>
      <b/>
      <sz val="11"/>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sz val="10"/>
      <name val="Calibri"/>
      <family val="2"/>
      <scheme val="minor"/>
    </font>
    <font>
      <i/>
      <sz val="11"/>
      <color theme="1"/>
      <name val="Calibri"/>
      <family val="2"/>
      <scheme val="minor"/>
    </font>
    <font>
      <u/>
      <sz val="11"/>
      <color theme="10"/>
      <name val="Calibri"/>
      <family val="2"/>
      <scheme val="minor"/>
    </font>
    <font>
      <b/>
      <sz val="12"/>
      <color theme="0"/>
      <name val="Century Gothic"/>
      <family val="2"/>
    </font>
    <font>
      <i/>
      <sz val="11"/>
      <name val="Calibri"/>
      <family val="2"/>
      <scheme val="minor"/>
    </font>
    <font>
      <b/>
      <sz val="11"/>
      <color rgb="FFFF0000"/>
      <name val="Calibri"/>
      <family val="2"/>
      <scheme val="minor"/>
    </font>
    <font>
      <b/>
      <u/>
      <sz val="9"/>
      <color theme="0"/>
      <name val="Century Gothic"/>
      <family val="2"/>
    </font>
    <font>
      <b/>
      <sz val="11"/>
      <color theme="1"/>
      <name val="Century Gothic"/>
      <family val="2"/>
    </font>
    <font>
      <sz val="11"/>
      <color theme="10"/>
      <name val="Calibri"/>
      <family val="2"/>
      <scheme val="minor"/>
    </font>
    <font>
      <b/>
      <sz val="11"/>
      <color theme="10"/>
      <name val="Calibri"/>
      <family val="2"/>
      <scheme val="minor"/>
    </font>
    <font>
      <b/>
      <sz val="16"/>
      <color theme="1"/>
      <name val="Calibri"/>
      <family val="2"/>
      <scheme val="minor"/>
    </font>
    <font>
      <sz val="8"/>
      <color rgb="FF000000"/>
      <name val="Segoe UI"/>
      <family val="2"/>
    </font>
    <font>
      <b/>
      <u/>
      <sz val="14"/>
      <color theme="10"/>
      <name val="Calibri"/>
      <family val="2"/>
      <scheme val="minor"/>
    </font>
    <font>
      <i/>
      <sz val="10"/>
      <color theme="0"/>
      <name val="Calibri"/>
      <family val="2"/>
      <scheme val="minor"/>
    </font>
    <font>
      <sz val="10"/>
      <color rgb="FF808080"/>
      <name val="Calibri"/>
      <family val="2"/>
      <scheme val="minor"/>
    </font>
    <font>
      <b/>
      <sz val="10"/>
      <color rgb="FF000000"/>
      <name val="Calibri"/>
      <family val="2"/>
      <scheme val="minor"/>
    </font>
    <font>
      <b/>
      <u/>
      <sz val="10"/>
      <color rgb="FF000000"/>
      <name val="Calibri"/>
      <family val="2"/>
      <scheme val="minor"/>
    </font>
    <font>
      <sz val="10"/>
      <color rgb="FF000000"/>
      <name val="Calibri"/>
      <family val="2"/>
      <scheme val="minor"/>
    </font>
    <font>
      <sz val="10"/>
      <color theme="1"/>
      <name val="Calibri"/>
      <family val="2"/>
    </font>
    <font>
      <b/>
      <sz val="10"/>
      <color theme="1"/>
      <name val="Calibri"/>
      <family val="2"/>
    </font>
    <font>
      <b/>
      <sz val="11"/>
      <color rgb="FF000000"/>
      <name val="Calibri"/>
      <family val="2"/>
      <scheme val="minor"/>
    </font>
    <font>
      <b/>
      <sz val="9"/>
      <color rgb="FF000000"/>
      <name val="Calibri"/>
      <family val="2"/>
      <scheme val="minor"/>
    </font>
    <font>
      <u/>
      <sz val="10"/>
      <color theme="10"/>
      <name val="Calibri"/>
      <family val="2"/>
      <scheme val="minor"/>
    </font>
    <font>
      <b/>
      <sz val="12"/>
      <color indexed="8"/>
      <name val="Calibri"/>
      <family val="2"/>
      <scheme val="minor"/>
    </font>
    <font>
      <sz val="12"/>
      <color indexed="8"/>
      <name val="Calibri"/>
      <family val="2"/>
      <scheme val="minor"/>
    </font>
    <font>
      <sz val="10"/>
      <color indexed="8"/>
      <name val="Arial"/>
      <family val="2"/>
    </font>
    <font>
      <b/>
      <sz val="10"/>
      <color indexed="8"/>
      <name val="Arial"/>
      <family val="2"/>
    </font>
    <font>
      <b/>
      <sz val="10"/>
      <color theme="1"/>
      <name val="Arial"/>
      <family val="2"/>
    </font>
    <font>
      <b/>
      <sz val="8"/>
      <color theme="1"/>
      <name val="Calibri"/>
      <family val="2"/>
      <scheme val="minor"/>
    </font>
    <font>
      <b/>
      <i/>
      <sz val="9"/>
      <color rgb="FFFFFF00"/>
      <name val="Century Gothic"/>
      <family val="2"/>
    </font>
    <font>
      <b/>
      <sz val="11"/>
      <color rgb="FFFECF00"/>
      <name val="Calibri"/>
      <family val="2"/>
      <scheme val="minor"/>
    </font>
    <font>
      <b/>
      <i/>
      <sz val="11"/>
      <name val="Calibri"/>
      <family val="2"/>
      <scheme val="minor"/>
    </font>
    <font>
      <b/>
      <i/>
      <sz val="9"/>
      <color theme="0"/>
      <name val="Century Gothic"/>
      <family val="2"/>
    </font>
    <font>
      <b/>
      <sz val="9"/>
      <color theme="0"/>
      <name val="Calibri"/>
      <family val="2"/>
      <scheme val="minor"/>
    </font>
    <font>
      <b/>
      <vertAlign val="superscript"/>
      <sz val="11"/>
      <color theme="1"/>
      <name val="Calibri"/>
      <family val="2"/>
      <scheme val="minor"/>
    </font>
    <font>
      <b/>
      <sz val="12"/>
      <name val="Calibri"/>
      <family val="2"/>
      <scheme val="minor"/>
    </font>
    <font>
      <b/>
      <sz val="12"/>
      <color theme="0"/>
      <name val="Calibri"/>
      <family val="2"/>
      <scheme val="minor"/>
    </font>
    <font>
      <b/>
      <sz val="11"/>
      <color rgb="FFFFFF00"/>
      <name val="Calibri"/>
      <family val="2"/>
      <scheme val="minor"/>
    </font>
    <font>
      <sz val="10"/>
      <color theme="0" tint="-0.14999847407452621"/>
      <name val="Calibri"/>
      <family val="2"/>
      <scheme val="minor"/>
    </font>
    <font>
      <sz val="11"/>
      <color theme="0" tint="-0.14999847407452621"/>
      <name val="Calibri"/>
      <family val="2"/>
      <scheme val="minor"/>
    </font>
    <font>
      <b/>
      <sz val="11"/>
      <color theme="0" tint="-0.14999847407452621"/>
      <name val="Calibri"/>
      <family val="2"/>
      <scheme val="minor"/>
    </font>
    <font>
      <b/>
      <sz val="10"/>
      <color indexed="81"/>
      <name val="Tahoma"/>
      <family val="2"/>
    </font>
    <font>
      <sz val="9"/>
      <color theme="1"/>
      <name val="Times New Roman"/>
      <family val="1"/>
    </font>
    <font>
      <u/>
      <sz val="14"/>
      <color theme="10"/>
      <name val="Calibri"/>
      <family val="2"/>
      <scheme val="minor"/>
    </font>
    <font>
      <sz val="11"/>
      <color indexed="81"/>
      <name val="Calibri"/>
      <family val="2"/>
      <scheme val="minor"/>
    </font>
    <font>
      <sz val="10"/>
      <color indexed="81"/>
      <name val="Calibri"/>
      <family val="2"/>
      <scheme val="minor"/>
    </font>
    <font>
      <b/>
      <sz val="14"/>
      <color indexed="81"/>
      <name val="Calibri"/>
      <family val="2"/>
      <scheme val="minor"/>
    </font>
    <font>
      <b/>
      <sz val="20"/>
      <color theme="1"/>
      <name val="Century Gothic"/>
      <family val="2"/>
    </font>
    <font>
      <b/>
      <sz val="18"/>
      <color theme="1"/>
      <name val="Century Gothic"/>
      <family val="2"/>
    </font>
    <font>
      <sz val="12"/>
      <color theme="1"/>
      <name val="Calibri"/>
      <family val="2"/>
      <scheme val="minor"/>
    </font>
    <font>
      <b/>
      <sz val="10"/>
      <color rgb="FF000000"/>
      <name val="Arial"/>
      <family val="2"/>
    </font>
    <font>
      <u/>
      <sz val="12"/>
      <color theme="10"/>
      <name val="Calibri"/>
      <family val="2"/>
      <scheme val="minor"/>
    </font>
  </fonts>
  <fills count="29">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8" tint="0.59999389629810485"/>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rgb="FF151E49"/>
        <bgColor indexed="64"/>
      </patternFill>
    </fill>
    <fill>
      <patternFill patternType="solid">
        <fgColor theme="0" tint="-0.14999847407452621"/>
        <bgColor theme="0" tint="-0.14999847407452621"/>
      </patternFill>
    </fill>
    <fill>
      <patternFill patternType="solid">
        <fgColor theme="0"/>
        <bgColor theme="0" tint="-0.14999847407452621"/>
      </patternFill>
    </fill>
    <fill>
      <patternFill patternType="solid">
        <fgColor rgb="FFFF7C80"/>
        <bgColor indexed="64"/>
      </patternFill>
    </fill>
    <fill>
      <patternFill patternType="solid">
        <fgColor rgb="FF009999"/>
        <bgColor indexed="64"/>
      </patternFill>
    </fill>
    <fill>
      <patternFill patternType="solid">
        <fgColor rgb="FF92D050"/>
        <bgColor indexed="64"/>
      </patternFill>
    </fill>
    <fill>
      <patternFill patternType="solid">
        <fgColor theme="7" tint="0.59999389629810485"/>
        <bgColor indexed="64"/>
      </patternFill>
    </fill>
    <fill>
      <patternFill patternType="solid">
        <fgColor rgb="FFCC6600"/>
        <bgColor indexed="64"/>
      </patternFill>
    </fill>
    <fill>
      <patternFill patternType="solid">
        <fgColor theme="5" tint="0.39997558519241921"/>
        <bgColor indexed="64"/>
      </patternFill>
    </fill>
    <fill>
      <patternFill patternType="solid">
        <fgColor rgb="FFFF33CC"/>
        <bgColor indexed="64"/>
      </patternFill>
    </fill>
    <fill>
      <patternFill patternType="solid">
        <fgColor rgb="FFFFFF99"/>
        <bgColor indexed="64"/>
      </patternFill>
    </fill>
    <fill>
      <patternFill patternType="solid">
        <fgColor rgb="FFFF99CC"/>
        <bgColor indexed="64"/>
      </patternFill>
    </fill>
    <fill>
      <patternFill patternType="solid">
        <fgColor rgb="FF99CCFF"/>
        <bgColor indexed="64"/>
      </patternFill>
    </fill>
    <fill>
      <patternFill patternType="solid">
        <fgColor rgb="FF66FF3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theme="1"/>
      </left>
      <right style="thin">
        <color theme="1"/>
      </right>
      <top style="medium">
        <color theme="1"/>
      </top>
      <bottom style="medium">
        <color theme="1"/>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style="thin">
        <color theme="1"/>
      </right>
      <top/>
      <bottom style="medium">
        <color theme="1"/>
      </bottom>
      <diagonal/>
    </border>
    <border>
      <left style="thin">
        <color theme="1"/>
      </left>
      <right style="thin">
        <color theme="1"/>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theme="1"/>
      </left>
      <right/>
      <top style="medium">
        <color theme="1"/>
      </top>
      <bottom/>
      <diagonal/>
    </border>
    <border>
      <left style="thin">
        <color theme="1"/>
      </left>
      <right style="thin">
        <color theme="1"/>
      </right>
      <top style="medium">
        <color theme="1"/>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indexed="64"/>
      </left>
      <right/>
      <top style="double">
        <color theme="1"/>
      </top>
      <bottom style="thin">
        <color indexed="64"/>
      </bottom>
      <diagonal/>
    </border>
    <border>
      <left/>
      <right style="thin">
        <color theme="1"/>
      </right>
      <top style="medium">
        <color theme="1"/>
      </top>
      <bottom/>
      <diagonal/>
    </border>
    <border>
      <left/>
      <right style="thin">
        <color theme="1"/>
      </right>
      <top style="thin">
        <color theme="1"/>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22" fillId="0" borderId="0" applyNumberFormat="0" applyFill="0" applyBorder="0" applyAlignment="0" applyProtection="0"/>
    <xf numFmtId="43" fontId="1" fillId="0" borderId="0" applyFont="0" applyFill="0" applyBorder="0" applyAlignment="0" applyProtection="0"/>
    <xf numFmtId="0" fontId="45" fillId="0" borderId="0">
      <alignment vertical="top"/>
    </xf>
    <xf numFmtId="0" fontId="45" fillId="0" borderId="0">
      <alignment vertical="top"/>
    </xf>
  </cellStyleXfs>
  <cellXfs count="803">
    <xf numFmtId="0" fontId="0" fillId="0" borderId="0" xfId="0"/>
    <xf numFmtId="0" fontId="6" fillId="3" borderId="0" xfId="0" applyFont="1" applyFill="1" applyBorder="1" applyAlignment="1">
      <alignment horizontal="center" vertical="center" wrapText="1"/>
    </xf>
    <xf numFmtId="0" fontId="0" fillId="3" borderId="0" xfId="0" applyFill="1"/>
    <xf numFmtId="0" fontId="0" fillId="0" borderId="0" xfId="0" applyAlignment="1">
      <alignment horizontal="center"/>
    </xf>
    <xf numFmtId="0" fontId="0" fillId="0" borderId="0" xfId="0" applyProtection="1">
      <protection locked="0"/>
    </xf>
    <xf numFmtId="44" fontId="0" fillId="0" borderId="0" xfId="1" applyNumberFormat="1" applyFont="1" applyProtection="1">
      <protection locked="0"/>
    </xf>
    <xf numFmtId="0" fontId="10" fillId="2" borderId="1" xfId="0" applyFont="1" applyFill="1" applyBorder="1" applyAlignment="1" applyProtection="1"/>
    <xf numFmtId="0" fontId="10" fillId="2" borderId="1" xfId="0" applyFont="1" applyFill="1" applyBorder="1" applyProtection="1"/>
    <xf numFmtId="0" fontId="9" fillId="0" borderId="1" xfId="0" applyFont="1" applyFill="1" applyBorder="1" applyAlignment="1" applyProtection="1"/>
    <xf numFmtId="44" fontId="0" fillId="0" borderId="1" xfId="0" applyNumberFormat="1" applyBorder="1" applyProtection="1"/>
    <xf numFmtId="0" fontId="0" fillId="0" borderId="1" xfId="0" applyFill="1" applyBorder="1" applyProtection="1"/>
    <xf numFmtId="0" fontId="0" fillId="0" borderId="1" xfId="0" applyFont="1" applyBorder="1" applyProtection="1"/>
    <xf numFmtId="0" fontId="10" fillId="2" borderId="11" xfId="0" applyFont="1" applyFill="1" applyBorder="1" applyProtection="1"/>
    <xf numFmtId="44" fontId="13" fillId="0" borderId="1" xfId="0" applyNumberFormat="1" applyFont="1" applyBorder="1" applyProtection="1"/>
    <xf numFmtId="0" fontId="0" fillId="0" borderId="0" xfId="0" applyProtection="1"/>
    <xf numFmtId="0" fontId="0" fillId="0" borderId="12" xfId="0" applyFont="1" applyBorder="1" applyProtection="1"/>
    <xf numFmtId="0" fontId="0" fillId="0" borderId="0" xfId="0" applyFont="1" applyBorder="1" applyProtection="1"/>
    <xf numFmtId="0" fontId="0" fillId="0" borderId="13" xfId="0" applyFont="1" applyBorder="1" applyProtection="1"/>
    <xf numFmtId="0" fontId="0" fillId="0" borderId="0" xfId="0" applyBorder="1"/>
    <xf numFmtId="0" fontId="12" fillId="0" borderId="0" xfId="0" applyFont="1"/>
    <xf numFmtId="0" fontId="30" fillId="0" borderId="0" xfId="0" applyFont="1"/>
    <xf numFmtId="0" fontId="10" fillId="2" borderId="32" xfId="0" applyFont="1" applyFill="1" applyBorder="1"/>
    <xf numFmtId="0" fontId="10" fillId="2" borderId="32" xfId="0" applyFont="1" applyFill="1" applyBorder="1" applyAlignment="1">
      <alignment horizontal="center"/>
    </xf>
    <xf numFmtId="0" fontId="0" fillId="0" borderId="0" xfId="0" applyNumberFormat="1"/>
    <xf numFmtId="0" fontId="10" fillId="2" borderId="33" xfId="3" applyFont="1" applyFill="1" applyBorder="1" applyAlignment="1">
      <alignment horizontal="left"/>
    </xf>
    <xf numFmtId="44" fontId="5" fillId="2" borderId="6" xfId="0" applyNumberFormat="1" applyFont="1" applyFill="1" applyBorder="1" applyAlignment="1" applyProtection="1"/>
    <xf numFmtId="44" fontId="5" fillId="2" borderId="18" xfId="0" applyNumberFormat="1" applyFont="1" applyFill="1" applyBorder="1" applyAlignment="1" applyProtection="1"/>
    <xf numFmtId="0" fontId="50" fillId="15" borderId="0" xfId="0" applyFont="1" applyFill="1" applyAlignment="1">
      <alignment horizontal="center" vertical="top" wrapText="1"/>
    </xf>
    <xf numFmtId="0" fontId="0" fillId="0" borderId="0" xfId="0" applyAlignment="1">
      <alignment horizontal="left" vertical="top"/>
    </xf>
    <xf numFmtId="0" fontId="0" fillId="0" borderId="0" xfId="0" applyFont="1" applyBorder="1" applyAlignment="1" applyProtection="1">
      <alignment horizontal="center"/>
    </xf>
    <xf numFmtId="0" fontId="0" fillId="0" borderId="0" xfId="0" applyBorder="1" applyProtection="1"/>
    <xf numFmtId="0" fontId="51" fillId="3" borderId="37" xfId="0" applyFont="1" applyFill="1" applyBorder="1"/>
    <xf numFmtId="0" fontId="51" fillId="3" borderId="37" xfId="0" applyFont="1" applyFill="1" applyBorder="1" applyAlignment="1">
      <alignment horizontal="center"/>
    </xf>
    <xf numFmtId="44" fontId="51" fillId="3" borderId="42" xfId="0" applyNumberFormat="1" applyFont="1" applyFill="1" applyBorder="1"/>
    <xf numFmtId="8" fontId="0" fillId="0" borderId="0" xfId="0" applyNumberFormat="1"/>
    <xf numFmtId="0" fontId="0" fillId="0" borderId="12" xfId="0" applyFont="1" applyBorder="1" applyAlignment="1" applyProtection="1">
      <alignment horizontal="left" vertical="center"/>
    </xf>
    <xf numFmtId="0" fontId="0" fillId="0" borderId="0" xfId="0" applyFont="1" applyBorder="1" applyAlignment="1" applyProtection="1">
      <alignment horizontal="left" vertical="center"/>
    </xf>
    <xf numFmtId="0" fontId="0" fillId="0" borderId="13" xfId="0" applyFont="1" applyBorder="1" applyAlignment="1" applyProtection="1">
      <alignment horizontal="left" vertical="center"/>
    </xf>
    <xf numFmtId="0" fontId="0" fillId="0" borderId="0" xfId="0" applyAlignment="1" applyProtection="1">
      <alignment vertical="center"/>
    </xf>
    <xf numFmtId="0" fontId="8" fillId="0" borderId="0" xfId="0" applyFont="1" applyProtection="1"/>
    <xf numFmtId="0" fontId="27" fillId="0" borderId="0" xfId="0" applyFont="1" applyProtection="1"/>
    <xf numFmtId="0" fontId="0" fillId="3" borderId="0" xfId="0" applyFill="1" applyProtection="1"/>
    <xf numFmtId="0" fontId="10" fillId="2" borderId="32" xfId="0" applyFont="1" applyFill="1" applyBorder="1" applyProtection="1"/>
    <xf numFmtId="0" fontId="10" fillId="2" borderId="32" xfId="0" applyFont="1" applyFill="1" applyBorder="1" applyAlignment="1" applyProtection="1">
      <alignment horizontal="center"/>
    </xf>
    <xf numFmtId="0" fontId="10" fillId="2" borderId="33" xfId="3" applyFont="1" applyFill="1" applyBorder="1" applyAlignment="1" applyProtection="1">
      <alignment horizontal="left"/>
    </xf>
    <xf numFmtId="0" fontId="6" fillId="3" borderId="0" xfId="0" applyFont="1" applyFill="1" applyBorder="1" applyAlignment="1" applyProtection="1">
      <alignment horizontal="center" vertical="center" wrapText="1"/>
    </xf>
    <xf numFmtId="0" fontId="51" fillId="3" borderId="37" xfId="0" applyFont="1" applyFill="1" applyBorder="1" applyProtection="1"/>
    <xf numFmtId="0" fontId="51" fillId="3" borderId="37" xfId="0" applyFont="1" applyFill="1" applyBorder="1" applyAlignment="1" applyProtection="1">
      <alignment horizontal="center"/>
    </xf>
    <xf numFmtId="44" fontId="51" fillId="3" borderId="42" xfId="0" applyNumberFormat="1" applyFont="1" applyFill="1" applyBorder="1" applyProtection="1"/>
    <xf numFmtId="0" fontId="5" fillId="2" borderId="3" xfId="0" applyFont="1" applyFill="1" applyBorder="1" applyProtection="1"/>
    <xf numFmtId="0" fontId="5" fillId="2" borderId="3" xfId="0" applyFont="1" applyFill="1" applyBorder="1" applyAlignment="1" applyProtection="1">
      <alignment horizontal="center"/>
    </xf>
    <xf numFmtId="0" fontId="10" fillId="2" borderId="3" xfId="0" applyFont="1" applyFill="1" applyBorder="1" applyProtection="1"/>
    <xf numFmtId="0" fontId="4" fillId="2" borderId="41" xfId="0" applyFont="1" applyFill="1" applyBorder="1" applyAlignment="1" applyProtection="1">
      <alignment horizontal="right"/>
    </xf>
    <xf numFmtId="0" fontId="0" fillId="0" borderId="0" xfId="0" applyAlignment="1" applyProtection="1">
      <alignment horizontal="center"/>
    </xf>
    <xf numFmtId="44" fontId="12" fillId="0" borderId="1" xfId="0" applyNumberFormat="1" applyFont="1" applyBorder="1" applyProtection="1"/>
    <xf numFmtId="0" fontId="0" fillId="0" borderId="39" xfId="0" applyFont="1" applyBorder="1" applyProtection="1">
      <protection locked="0"/>
    </xf>
    <xf numFmtId="0" fontId="0" fillId="0" borderId="39" xfId="0" applyFont="1" applyBorder="1" applyAlignment="1" applyProtection="1">
      <alignment horizontal="center"/>
      <protection locked="0"/>
    </xf>
    <xf numFmtId="0" fontId="0" fillId="16" borderId="39" xfId="0" applyFont="1" applyFill="1" applyBorder="1" applyProtection="1">
      <protection locked="0"/>
    </xf>
    <xf numFmtId="0" fontId="0" fillId="16" borderId="39" xfId="0" applyFont="1" applyFill="1" applyBorder="1" applyAlignment="1" applyProtection="1">
      <alignment horizontal="center"/>
      <protection locked="0"/>
    </xf>
    <xf numFmtId="0" fontId="0" fillId="0" borderId="0" xfId="0" applyAlignment="1" applyProtection="1">
      <alignment wrapText="1"/>
    </xf>
    <xf numFmtId="0" fontId="0" fillId="0" borderId="21" xfId="0" applyBorder="1" applyProtection="1"/>
    <xf numFmtId="44" fontId="0" fillId="0" borderId="0" xfId="1" applyFont="1" applyProtection="1"/>
    <xf numFmtId="0" fontId="0" fillId="0" borderId="19" xfId="0" applyBorder="1" applyProtection="1"/>
    <xf numFmtId="0" fontId="0" fillId="0" borderId="8" xfId="0" applyBorder="1" applyProtection="1"/>
    <xf numFmtId="0" fontId="0" fillId="0" borderId="20" xfId="0" applyBorder="1" applyProtection="1"/>
    <xf numFmtId="44" fontId="0" fillId="16" borderId="42" xfId="1" applyNumberFormat="1" applyFont="1" applyFill="1" applyBorder="1" applyProtection="1">
      <protection locked="0"/>
    </xf>
    <xf numFmtId="44" fontId="0" fillId="0" borderId="43" xfId="1" applyNumberFormat="1" applyFont="1" applyBorder="1" applyProtection="1">
      <protection locked="0"/>
    </xf>
    <xf numFmtId="44" fontId="0" fillId="16" borderId="40" xfId="1" applyNumberFormat="1" applyFont="1" applyFill="1" applyBorder="1" applyProtection="1">
      <protection locked="0"/>
    </xf>
    <xf numFmtId="44" fontId="0" fillId="0" borderId="40" xfId="1" applyNumberFormat="1" applyFont="1" applyBorder="1" applyProtection="1">
      <protection locked="0"/>
    </xf>
    <xf numFmtId="0" fontId="10" fillId="2" borderId="15" xfId="0" applyFont="1" applyFill="1" applyBorder="1" applyProtection="1"/>
    <xf numFmtId="0" fontId="24" fillId="3" borderId="0" xfId="0" applyFont="1" applyFill="1" applyProtection="1"/>
    <xf numFmtId="44" fontId="24" fillId="3" borderId="0" xfId="0" applyNumberFormat="1" applyFont="1" applyFill="1" applyProtection="1"/>
    <xf numFmtId="0" fontId="4" fillId="11" borderId="0" xfId="0" applyFont="1" applyFill="1" applyAlignment="1" applyProtection="1">
      <alignment horizontal="center"/>
    </xf>
    <xf numFmtId="44" fontId="0" fillId="0" borderId="0" xfId="0" applyNumberFormat="1" applyProtection="1"/>
    <xf numFmtId="0" fontId="5" fillId="2" borderId="0" xfId="0" applyFont="1" applyFill="1" applyProtection="1"/>
    <xf numFmtId="0" fontId="16" fillId="2" borderId="0" xfId="0" applyFont="1" applyFill="1" applyAlignment="1" applyProtection="1">
      <alignment horizontal="right"/>
    </xf>
    <xf numFmtId="0" fontId="16" fillId="6" borderId="1" xfId="0" applyFont="1" applyFill="1" applyBorder="1" applyAlignment="1" applyProtection="1">
      <alignment horizontal="right"/>
    </xf>
    <xf numFmtId="0" fontId="4" fillId="13" borderId="0" xfId="0" applyFont="1" applyFill="1" applyBorder="1" applyAlignment="1" applyProtection="1">
      <alignment horizontal="right"/>
    </xf>
    <xf numFmtId="0" fontId="0" fillId="0" borderId="0" xfId="0" applyFont="1" applyProtection="1"/>
    <xf numFmtId="0" fontId="9"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20" fillId="0" borderId="1" xfId="0" applyFont="1" applyBorder="1" applyAlignment="1" applyProtection="1">
      <alignment horizontal="center" vertical="center" wrapText="1"/>
    </xf>
    <xf numFmtId="44" fontId="0" fillId="0" borderId="1" xfId="1" applyNumberFormat="1" applyFont="1" applyBorder="1" applyAlignment="1" applyProtection="1">
      <alignment horizontal="center" vertical="center"/>
    </xf>
    <xf numFmtId="0" fontId="20" fillId="3" borderId="1" xfId="0" applyFont="1" applyFill="1" applyBorder="1" applyAlignment="1" applyProtection="1">
      <alignment horizontal="center" vertical="center" wrapText="1"/>
    </xf>
    <xf numFmtId="44" fontId="25" fillId="0" borderId="1" xfId="1" applyNumberFormat="1" applyFont="1" applyBorder="1" applyAlignment="1" applyProtection="1">
      <alignment horizontal="center" vertical="center"/>
    </xf>
    <xf numFmtId="0" fontId="14" fillId="0" borderId="1" xfId="0" applyFont="1" applyBorder="1" applyAlignment="1" applyProtection="1">
      <alignment horizontal="center" vertical="center" wrapText="1"/>
    </xf>
    <xf numFmtId="44" fontId="12" fillId="0" borderId="1" xfId="1" applyNumberFormat="1" applyFont="1" applyBorder="1" applyAlignment="1" applyProtection="1">
      <alignment horizontal="center" vertical="center"/>
    </xf>
    <xf numFmtId="44" fontId="12" fillId="0" borderId="1" xfId="1" applyFont="1" applyBorder="1" applyAlignment="1" applyProtection="1">
      <alignment horizontal="center" vertical="center"/>
    </xf>
    <xf numFmtId="44" fontId="12" fillId="0" borderId="3" xfId="1" applyFont="1" applyBorder="1" applyAlignment="1" applyProtection="1">
      <alignment horizontal="right" vertical="center"/>
    </xf>
    <xf numFmtId="44" fontId="12" fillId="0" borderId="2" xfId="1" applyFont="1" applyBorder="1" applyAlignment="1" applyProtection="1">
      <alignment horizontal="right" vertical="center"/>
    </xf>
    <xf numFmtId="44" fontId="12" fillId="3" borderId="1" xfId="1" applyFont="1" applyFill="1" applyBorder="1" applyAlignment="1" applyProtection="1">
      <alignment horizontal="center" vertical="center"/>
    </xf>
    <xf numFmtId="0" fontId="0" fillId="0" borderId="2" xfId="0" applyFont="1" applyBorder="1" applyAlignment="1" applyProtection="1">
      <alignment horizontal="right" vertical="center"/>
    </xf>
    <xf numFmtId="0" fontId="12" fillId="0" borderId="2" xfId="0" applyFont="1" applyBorder="1" applyAlignment="1" applyProtection="1">
      <alignment horizontal="right" vertical="center"/>
    </xf>
    <xf numFmtId="0" fontId="12" fillId="0" borderId="9" xfId="0" applyFont="1" applyBorder="1" applyAlignment="1" applyProtection="1">
      <alignment horizontal="right" vertical="center"/>
    </xf>
    <xf numFmtId="44" fontId="18" fillId="0" borderId="9" xfId="1" applyFont="1" applyBorder="1" applyAlignment="1" applyProtection="1">
      <alignment horizontal="center" vertical="center"/>
    </xf>
    <xf numFmtId="0" fontId="4" fillId="2" borderId="9" xfId="0" applyFont="1" applyFill="1" applyBorder="1" applyAlignment="1" applyProtection="1">
      <alignment vertical="center"/>
    </xf>
    <xf numFmtId="0" fontId="4" fillId="2" borderId="0" xfId="0" applyFont="1" applyFill="1" applyBorder="1" applyAlignment="1" applyProtection="1">
      <alignment horizontal="center" vertical="center"/>
    </xf>
    <xf numFmtId="0" fontId="4" fillId="3" borderId="0" xfId="0" applyFont="1" applyFill="1" applyBorder="1" applyAlignment="1" applyProtection="1">
      <alignment vertical="center"/>
    </xf>
    <xf numFmtId="0" fontId="4" fillId="0" borderId="0" xfId="0" applyFont="1" applyFill="1" applyBorder="1" applyAlignment="1" applyProtection="1">
      <alignment horizontal="right" vertical="center"/>
    </xf>
    <xf numFmtId="44" fontId="12" fillId="0" borderId="1" xfId="1" applyFont="1" applyFill="1" applyBorder="1" applyAlignment="1" applyProtection="1">
      <alignment vertical="center"/>
    </xf>
    <xf numFmtId="9" fontId="12" fillId="0" borderId="1" xfId="1" applyNumberFormat="1" applyFont="1" applyBorder="1" applyAlignment="1" applyProtection="1">
      <alignment horizontal="center" vertical="center"/>
    </xf>
    <xf numFmtId="44" fontId="12" fillId="0" borderId="0" xfId="1" applyFont="1" applyBorder="1" applyAlignment="1" applyProtection="1">
      <alignment vertical="center"/>
    </xf>
    <xf numFmtId="0" fontId="12" fillId="0" borderId="0" xfId="0" applyFont="1" applyBorder="1" applyAlignment="1" applyProtection="1">
      <alignment horizontal="right" vertical="center"/>
    </xf>
    <xf numFmtId="44" fontId="12" fillId="0" borderId="0" xfId="1" applyFont="1" applyFill="1" applyBorder="1" applyAlignment="1" applyProtection="1">
      <alignment horizontal="center" vertical="center"/>
    </xf>
    <xf numFmtId="0" fontId="15" fillId="0" borderId="0" xfId="0" applyFont="1" applyBorder="1" applyAlignment="1" applyProtection="1">
      <alignment vertical="center" wrapText="1"/>
    </xf>
    <xf numFmtId="0" fontId="15" fillId="0" borderId="0" xfId="0" applyFont="1" applyBorder="1" applyAlignment="1" applyProtection="1">
      <alignment vertical="center"/>
    </xf>
    <xf numFmtId="0" fontId="15" fillId="0" borderId="0" xfId="0" applyFont="1" applyBorder="1" applyAlignment="1" applyProtection="1">
      <alignment horizontal="right" vertical="center"/>
    </xf>
    <xf numFmtId="0" fontId="17" fillId="3" borderId="12" xfId="0" applyFont="1" applyFill="1" applyBorder="1" applyAlignment="1" applyProtection="1">
      <alignment horizontal="right"/>
    </xf>
    <xf numFmtId="0" fontId="34" fillId="3" borderId="13" xfId="0" applyFont="1" applyFill="1" applyBorder="1" applyAlignment="1" applyProtection="1">
      <alignment wrapText="1"/>
    </xf>
    <xf numFmtId="0" fontId="35" fillId="3" borderId="12" xfId="0" applyFont="1" applyFill="1" applyBorder="1" applyProtection="1"/>
    <xf numFmtId="0" fontId="37" fillId="0" borderId="3" xfId="0" applyFont="1" applyBorder="1" applyAlignment="1" applyProtection="1">
      <alignment wrapText="1"/>
    </xf>
    <xf numFmtId="44" fontId="37" fillId="0" borderId="1" xfId="0" applyNumberFormat="1" applyFont="1" applyBorder="1" applyProtection="1"/>
    <xf numFmtId="44" fontId="15" fillId="0" borderId="1" xfId="0" applyNumberFormat="1" applyFont="1" applyBorder="1" applyProtection="1"/>
    <xf numFmtId="44" fontId="34" fillId="0" borderId="1" xfId="0" applyNumberFormat="1" applyFont="1" applyBorder="1" applyProtection="1"/>
    <xf numFmtId="0" fontId="37" fillId="0" borderId="3" xfId="0" applyFont="1" applyBorder="1" applyProtection="1"/>
    <xf numFmtId="7" fontId="37" fillId="6" borderId="5" xfId="0" applyNumberFormat="1" applyFont="1" applyFill="1" applyBorder="1" applyProtection="1"/>
    <xf numFmtId="0" fontId="37" fillId="0" borderId="3" xfId="0" applyFont="1" applyBorder="1" applyAlignment="1" applyProtection="1">
      <alignment horizontal="right"/>
    </xf>
    <xf numFmtId="7" fontId="37" fillId="0" borderId="5" xfId="0" applyNumberFormat="1" applyFont="1" applyBorder="1" applyProtection="1"/>
    <xf numFmtId="0" fontId="35" fillId="8" borderId="30" xfId="0" applyFont="1" applyFill="1" applyBorder="1" applyAlignment="1" applyProtection="1">
      <alignment horizontal="center"/>
    </xf>
    <xf numFmtId="0" fontId="35" fillId="8" borderId="9" xfId="0" applyFont="1" applyFill="1" applyBorder="1" applyAlignment="1" applyProtection="1">
      <alignment horizontal="right"/>
    </xf>
    <xf numFmtId="0" fontId="17" fillId="8" borderId="12" xfId="0" applyFont="1" applyFill="1" applyBorder="1" applyAlignment="1" applyProtection="1">
      <alignment horizontal="right"/>
    </xf>
    <xf numFmtId="0" fontId="17" fillId="8" borderId="36" xfId="0" applyFont="1" applyFill="1" applyBorder="1" applyAlignment="1" applyProtection="1">
      <alignment horizontal="right"/>
    </xf>
    <xf numFmtId="0" fontId="0" fillId="8" borderId="10" xfId="0" applyFill="1" applyBorder="1" applyAlignment="1" applyProtection="1">
      <alignment horizontal="left"/>
    </xf>
    <xf numFmtId="0" fontId="0" fillId="8" borderId="35" xfId="0" applyFill="1" applyBorder="1" applyProtection="1"/>
    <xf numFmtId="0" fontId="35" fillId="3" borderId="30" xfId="0" applyFont="1" applyFill="1" applyBorder="1" applyAlignment="1" applyProtection="1">
      <alignment horizontal="center"/>
    </xf>
    <xf numFmtId="0" fontId="35" fillId="3" borderId="9" xfId="0" applyFont="1" applyFill="1" applyBorder="1" applyAlignment="1" applyProtection="1">
      <alignment horizontal="right"/>
    </xf>
    <xf numFmtId="0" fontId="17" fillId="3" borderId="36" xfId="0" applyFont="1" applyFill="1" applyBorder="1" applyAlignment="1" applyProtection="1">
      <alignment horizontal="right"/>
    </xf>
    <xf numFmtId="0" fontId="0" fillId="3" borderId="10" xfId="0" applyFill="1" applyBorder="1" applyAlignment="1" applyProtection="1">
      <alignment horizontal="left"/>
    </xf>
    <xf numFmtId="0" fontId="0" fillId="3" borderId="35" xfId="0" applyFill="1" applyBorder="1" applyProtection="1"/>
    <xf numFmtId="0" fontId="35" fillId="3" borderId="31" xfId="0" applyFont="1" applyFill="1" applyBorder="1" applyProtection="1"/>
    <xf numFmtId="0" fontId="15" fillId="0" borderId="0" xfId="0" applyFont="1" applyProtection="1"/>
    <xf numFmtId="0" fontId="0" fillId="0" borderId="39" xfId="0" applyFont="1" applyBorder="1" applyAlignment="1" applyProtection="1">
      <alignment horizontal="left" vertical="top"/>
      <protection locked="0"/>
    </xf>
    <xf numFmtId="0" fontId="0" fillId="16" borderId="39" xfId="0" applyFont="1" applyFill="1" applyBorder="1" applyAlignment="1" applyProtection="1">
      <alignment horizontal="left" vertical="top"/>
      <protection locked="0"/>
    </xf>
    <xf numFmtId="0" fontId="0" fillId="0" borderId="0" xfId="0" applyAlignment="1" applyProtection="1">
      <alignment horizontal="left" vertical="top"/>
      <protection locked="0"/>
    </xf>
    <xf numFmtId="0" fontId="22" fillId="0" borderId="0" xfId="3" applyProtection="1">
      <protection locked="0"/>
    </xf>
    <xf numFmtId="0" fontId="22" fillId="0" borderId="0" xfId="3" applyAlignment="1" applyProtection="1">
      <alignment vertical="center"/>
      <protection locked="0"/>
    </xf>
    <xf numFmtId="0" fontId="0" fillId="16" borderId="37" xfId="0" applyFont="1" applyFill="1" applyBorder="1" applyProtection="1">
      <protection locked="0"/>
    </xf>
    <xf numFmtId="0" fontId="12" fillId="19" borderId="12" xfId="0" applyFont="1" applyFill="1" applyBorder="1" applyAlignment="1" applyProtection="1">
      <alignment horizontal="right"/>
    </xf>
    <xf numFmtId="166" fontId="12" fillId="19" borderId="0" xfId="0" applyNumberFormat="1" applyFont="1" applyFill="1" applyProtection="1"/>
    <xf numFmtId="0" fontId="12" fillId="19" borderId="0" xfId="0" applyFont="1" applyFill="1" applyProtection="1"/>
    <xf numFmtId="0" fontId="12" fillId="19" borderId="13" xfId="0" applyFont="1" applyFill="1" applyBorder="1" applyProtection="1"/>
    <xf numFmtId="0" fontId="12" fillId="18" borderId="12" xfId="0" applyFont="1" applyFill="1" applyBorder="1" applyAlignment="1" applyProtection="1">
      <alignment horizontal="right"/>
    </xf>
    <xf numFmtId="166" fontId="12" fillId="18" borderId="0" xfId="0" applyNumberFormat="1" applyFont="1" applyFill="1" applyProtection="1"/>
    <xf numFmtId="0" fontId="12" fillId="18" borderId="0" xfId="0" applyFont="1" applyFill="1" applyProtection="1"/>
    <xf numFmtId="0" fontId="12" fillId="18" borderId="13" xfId="0" applyFont="1" applyFill="1" applyBorder="1" applyProtection="1"/>
    <xf numFmtId="0" fontId="12" fillId="20" borderId="12" xfId="0" applyFont="1" applyFill="1" applyBorder="1" applyAlignment="1" applyProtection="1">
      <alignment horizontal="right"/>
    </xf>
    <xf numFmtId="166" fontId="12" fillId="20" borderId="0" xfId="0" applyNumberFormat="1" applyFont="1" applyFill="1" applyProtection="1">
      <protection locked="0"/>
    </xf>
    <xf numFmtId="0" fontId="12" fillId="20" borderId="0" xfId="0" applyFont="1" applyFill="1" applyProtection="1"/>
    <xf numFmtId="0" fontId="12" fillId="20" borderId="13" xfId="0" applyFont="1" applyFill="1" applyBorder="1" applyProtection="1"/>
    <xf numFmtId="44" fontId="4" fillId="2" borderId="6" xfId="0" applyNumberFormat="1" applyFont="1" applyFill="1" applyBorder="1" applyAlignment="1" applyProtection="1"/>
    <xf numFmtId="0" fontId="12" fillId="21" borderId="0" xfId="0" applyFont="1" applyFill="1" applyBorder="1" applyAlignment="1" applyProtection="1">
      <alignment horizontal="right" vertical="center"/>
    </xf>
    <xf numFmtId="0" fontId="12" fillId="21" borderId="0" xfId="0" applyFont="1" applyFill="1" applyAlignment="1" applyProtection="1">
      <alignment horizontal="right" vertical="center"/>
    </xf>
    <xf numFmtId="165" fontId="0" fillId="21" borderId="1" xfId="1" applyNumberFormat="1" applyFont="1" applyFill="1" applyBorder="1" applyProtection="1">
      <protection locked="0"/>
    </xf>
    <xf numFmtId="44" fontId="12" fillId="21" borderId="1" xfId="1" applyFont="1" applyFill="1" applyBorder="1" applyAlignment="1" applyProtection="1">
      <alignment horizontal="center" vertical="center"/>
      <protection locked="0"/>
    </xf>
    <xf numFmtId="7" fontId="37" fillId="21" borderId="1" xfId="0" applyNumberFormat="1" applyFont="1" applyFill="1" applyBorder="1" applyAlignment="1" applyProtection="1">
      <alignment horizontal="center" wrapText="1"/>
      <protection locked="0"/>
    </xf>
    <xf numFmtId="7" fontId="37" fillId="21" borderId="5" xfId="0" applyNumberFormat="1" applyFont="1" applyFill="1" applyBorder="1" applyAlignment="1" applyProtection="1">
      <alignment horizontal="center" wrapText="1"/>
      <protection locked="0"/>
    </xf>
    <xf numFmtId="0" fontId="35" fillId="21" borderId="5" xfId="0" applyFont="1" applyFill="1" applyBorder="1" applyAlignment="1" applyProtection="1">
      <alignment horizontal="center" wrapText="1"/>
      <protection locked="0"/>
    </xf>
    <xf numFmtId="7" fontId="37" fillId="21" borderId="1" xfId="0" applyNumberFormat="1" applyFont="1" applyFill="1" applyBorder="1" applyProtection="1">
      <protection locked="0"/>
    </xf>
    <xf numFmtId="0" fontId="10" fillId="2" borderId="32" xfId="0" applyFont="1" applyFill="1" applyBorder="1" applyAlignment="1" applyProtection="1">
      <alignment wrapText="1"/>
    </xf>
    <xf numFmtId="0" fontId="4" fillId="2" borderId="14" xfId="0" applyFont="1" applyFill="1" applyBorder="1" applyAlignment="1" applyProtection="1">
      <alignment horizontal="right"/>
    </xf>
    <xf numFmtId="0" fontId="4" fillId="2" borderId="6" xfId="0" applyFont="1" applyFill="1" applyBorder="1" applyAlignment="1" applyProtection="1">
      <alignment horizontal="right"/>
    </xf>
    <xf numFmtId="44" fontId="5" fillId="2" borderId="6" xfId="0" applyNumberFormat="1" applyFont="1" applyFill="1" applyBorder="1" applyAlignment="1" applyProtection="1">
      <alignment horizontal="center"/>
    </xf>
    <xf numFmtId="0" fontId="17" fillId="21" borderId="35" xfId="0" applyFont="1" applyFill="1" applyBorder="1" applyAlignment="1" applyProtection="1">
      <alignment wrapText="1"/>
      <protection locked="0"/>
    </xf>
    <xf numFmtId="44" fontId="55" fillId="0" borderId="1" xfId="0" applyNumberFormat="1" applyFont="1" applyBorder="1" applyProtection="1"/>
    <xf numFmtId="44" fontId="18" fillId="0" borderId="1" xfId="0" applyNumberFormat="1" applyFont="1" applyFill="1" applyBorder="1" applyProtection="1"/>
    <xf numFmtId="0" fontId="56" fillId="2" borderId="11" xfId="0" applyFont="1" applyFill="1" applyBorder="1" applyProtection="1"/>
    <xf numFmtId="44" fontId="55" fillId="0" borderId="0" xfId="0" applyNumberFormat="1" applyFont="1" applyFill="1" applyProtection="1"/>
    <xf numFmtId="44" fontId="12" fillId="0" borderId="34" xfId="1" applyFont="1" applyBorder="1" applyAlignment="1" applyProtection="1">
      <alignment horizontal="center" vertical="center"/>
    </xf>
    <xf numFmtId="0" fontId="0" fillId="0" borderId="50" xfId="0" applyFont="1" applyBorder="1" applyAlignment="1" applyProtection="1">
      <alignment horizontal="center" vertical="center"/>
    </xf>
    <xf numFmtId="0" fontId="14" fillId="0" borderId="50" xfId="0" applyFont="1" applyBorder="1" applyAlignment="1" applyProtection="1">
      <alignment horizontal="center" vertical="center" wrapText="1"/>
    </xf>
    <xf numFmtId="39" fontId="0" fillId="0" borderId="50" xfId="1" applyNumberFormat="1" applyFont="1" applyBorder="1" applyAlignment="1" applyProtection="1">
      <alignment horizontal="center" vertical="center"/>
    </xf>
    <xf numFmtId="44" fontId="0" fillId="0" borderId="50" xfId="1" applyFont="1" applyBorder="1" applyAlignment="1" applyProtection="1">
      <alignment horizontal="center" vertical="center"/>
    </xf>
    <xf numFmtId="44" fontId="12" fillId="0" borderId="50" xfId="1" applyFont="1" applyBorder="1" applyAlignment="1" applyProtection="1">
      <alignment horizontal="center" vertical="center"/>
    </xf>
    <xf numFmtId="44" fontId="12" fillId="21" borderId="1" xfId="1" applyFont="1" applyFill="1" applyBorder="1" applyAlignment="1" applyProtection="1">
      <alignment horizontal="center" vertical="center"/>
    </xf>
    <xf numFmtId="0" fontId="0" fillId="0" borderId="0" xfId="0" applyFill="1"/>
    <xf numFmtId="44" fontId="4" fillId="2" borderId="18" xfId="0" applyNumberFormat="1" applyFont="1" applyFill="1" applyBorder="1" applyAlignment="1" applyProtection="1">
      <alignment horizontal="right"/>
    </xf>
    <xf numFmtId="0" fontId="4" fillId="2" borderId="14" xfId="0" applyFont="1" applyFill="1" applyBorder="1" applyAlignment="1" applyProtection="1">
      <alignment horizontal="right"/>
    </xf>
    <xf numFmtId="0" fontId="4" fillId="2" borderId="6" xfId="0" applyFont="1" applyFill="1" applyBorder="1" applyAlignment="1" applyProtection="1">
      <alignment horizontal="right"/>
    </xf>
    <xf numFmtId="0" fontId="0" fillId="0" borderId="0" xfId="0" applyFont="1" applyBorder="1" applyAlignment="1" applyProtection="1">
      <alignment horizontal="center"/>
    </xf>
    <xf numFmtId="44" fontId="5" fillId="2" borderId="6" xfId="0" applyNumberFormat="1" applyFont="1" applyFill="1" applyBorder="1" applyAlignment="1" applyProtection="1">
      <alignment horizontal="center"/>
    </xf>
    <xf numFmtId="44" fontId="12" fillId="0" borderId="4" xfId="1" applyFont="1" applyBorder="1" applyAlignment="1" applyProtection="1">
      <alignment horizontal="right" vertical="center"/>
    </xf>
    <xf numFmtId="44" fontId="5" fillId="0" borderId="0" xfId="0" applyNumberFormat="1" applyFont="1" applyProtection="1">
      <protection hidden="1"/>
    </xf>
    <xf numFmtId="0" fontId="57" fillId="2" borderId="6" xfId="0" applyFont="1" applyFill="1" applyBorder="1" applyAlignment="1" applyProtection="1">
      <alignment horizontal="right"/>
    </xf>
    <xf numFmtId="0" fontId="0" fillId="3" borderId="39" xfId="0" applyFont="1" applyFill="1" applyBorder="1" applyAlignment="1" applyProtection="1">
      <alignment horizontal="center"/>
      <protection locked="0"/>
    </xf>
    <xf numFmtId="0" fontId="5" fillId="0" borderId="11" xfId="0" applyFont="1" applyBorder="1" applyProtection="1"/>
    <xf numFmtId="44" fontId="5" fillId="0" borderId="1" xfId="0" applyNumberFormat="1" applyFont="1" applyBorder="1" applyProtection="1"/>
    <xf numFmtId="0" fontId="4" fillId="0" borderId="11" xfId="0" applyFont="1" applyBorder="1" applyProtection="1"/>
    <xf numFmtId="0" fontId="0" fillId="0" borderId="0" xfId="0" applyFont="1" applyBorder="1" applyAlignment="1" applyProtection="1">
      <alignment horizontal="center"/>
    </xf>
    <xf numFmtId="0" fontId="0" fillId="0" borderId="0" xfId="0" applyBorder="1" applyAlignment="1" applyProtection="1">
      <alignment horizontal="center"/>
    </xf>
    <xf numFmtId="0" fontId="0" fillId="0" borderId="9" xfId="0" applyBorder="1" applyProtection="1"/>
    <xf numFmtId="44" fontId="1" fillId="0" borderId="40" xfId="1" applyNumberFormat="1" applyFont="1" applyBorder="1" applyProtection="1">
      <protection locked="0"/>
    </xf>
    <xf numFmtId="0" fontId="0" fillId="0" borderId="39" xfId="0" applyFont="1" applyFill="1" applyBorder="1" applyAlignment="1" applyProtection="1">
      <alignment horizontal="center"/>
      <protection locked="0"/>
    </xf>
    <xf numFmtId="0" fontId="58" fillId="8" borderId="1" xfId="0" applyFont="1" applyFill="1" applyBorder="1" applyAlignment="1" applyProtection="1">
      <alignment horizontal="center" vertical="center" wrapText="1"/>
    </xf>
    <xf numFmtId="44" fontId="59" fillId="8" borderId="1" xfId="1" applyNumberFormat="1" applyFont="1" applyFill="1" applyBorder="1" applyAlignment="1" applyProtection="1">
      <alignment horizontal="center" vertical="center"/>
    </xf>
    <xf numFmtId="44" fontId="60" fillId="8" borderId="1" xfId="1" applyNumberFormat="1" applyFont="1" applyFill="1" applyBorder="1" applyAlignment="1" applyProtection="1">
      <alignment horizontal="center" vertical="center"/>
    </xf>
    <xf numFmtId="165" fontId="0" fillId="21" borderId="1" xfId="1" applyNumberFormat="1" applyFont="1" applyFill="1" applyBorder="1" applyProtection="1">
      <protection locked="0" hidden="1"/>
    </xf>
    <xf numFmtId="0" fontId="0" fillId="0" borderId="30" xfId="0" applyBorder="1" applyProtection="1"/>
    <xf numFmtId="0" fontId="0" fillId="0" borderId="31" xfId="0" applyBorder="1" applyProtection="1"/>
    <xf numFmtId="0" fontId="0" fillId="0" borderId="12" xfId="0" applyBorder="1" applyProtection="1"/>
    <xf numFmtId="0" fontId="12" fillId="0" borderId="0" xfId="0" applyFont="1" applyBorder="1" applyAlignment="1" applyProtection="1">
      <alignment horizontal="center"/>
    </xf>
    <xf numFmtId="0" fontId="0" fillId="0" borderId="13" xfId="0" applyBorder="1" applyProtection="1"/>
    <xf numFmtId="0" fontId="0" fillId="0" borderId="36" xfId="0" applyBorder="1" applyProtection="1"/>
    <xf numFmtId="0" fontId="0" fillId="0" borderId="10" xfId="0" applyBorder="1" applyProtection="1"/>
    <xf numFmtId="0" fontId="0" fillId="0" borderId="35" xfId="0" applyBorder="1" applyProtection="1"/>
    <xf numFmtId="44" fontId="18" fillId="0" borderId="4" xfId="0" applyNumberFormat="1" applyFont="1" applyFill="1" applyBorder="1" applyProtection="1"/>
    <xf numFmtId="0" fontId="16" fillId="6" borderId="0" xfId="0" applyFont="1" applyFill="1" applyBorder="1" applyAlignment="1" applyProtection="1">
      <alignment horizontal="right"/>
    </xf>
    <xf numFmtId="44" fontId="51" fillId="3" borderId="38" xfId="0" applyNumberFormat="1" applyFont="1" applyFill="1" applyBorder="1"/>
    <xf numFmtId="0" fontId="5" fillId="2" borderId="39" xfId="0" applyFont="1" applyFill="1" applyBorder="1"/>
    <xf numFmtId="0" fontId="16" fillId="2" borderId="39" xfId="0" applyFont="1" applyFill="1" applyBorder="1" applyAlignment="1">
      <alignment horizontal="right"/>
    </xf>
    <xf numFmtId="44" fontId="55" fillId="16" borderId="40" xfId="0" applyNumberFormat="1" applyFont="1" applyFill="1" applyBorder="1"/>
    <xf numFmtId="44" fontId="18" fillId="0" borderId="5" xfId="0" applyNumberFormat="1" applyFont="1" applyBorder="1"/>
    <xf numFmtId="0" fontId="0" fillId="0" borderId="0" xfId="0" applyFont="1" applyFill="1" applyBorder="1"/>
    <xf numFmtId="0" fontId="16" fillId="6" borderId="1" xfId="0" applyFont="1" applyFill="1" applyBorder="1" applyAlignment="1">
      <alignment horizontal="right"/>
    </xf>
    <xf numFmtId="0" fontId="4" fillId="13" borderId="1" xfId="0" applyFont="1" applyFill="1" applyBorder="1" applyAlignment="1">
      <alignment horizontal="right"/>
    </xf>
    <xf numFmtId="44" fontId="12" fillId="0" borderId="1" xfId="0" applyNumberFormat="1" applyFont="1" applyFill="1" applyBorder="1"/>
    <xf numFmtId="0" fontId="12" fillId="22" borderId="12" xfId="0" applyFont="1" applyFill="1" applyBorder="1" applyAlignment="1" applyProtection="1">
      <alignment horizontal="right"/>
    </xf>
    <xf numFmtId="166" fontId="12" fillId="22" borderId="0" xfId="0" applyNumberFormat="1" applyFont="1" applyFill="1" applyProtection="1"/>
    <xf numFmtId="0" fontId="12" fillId="22" borderId="0" xfId="0" applyFont="1" applyFill="1" applyProtection="1"/>
    <xf numFmtId="0" fontId="12" fillId="22" borderId="13" xfId="0" applyFont="1" applyFill="1" applyBorder="1" applyProtection="1"/>
    <xf numFmtId="0" fontId="0" fillId="16" borderId="37" xfId="0" applyFont="1" applyFill="1" applyBorder="1" applyAlignment="1" applyProtection="1">
      <alignment horizontal="center"/>
      <protection locked="0"/>
    </xf>
    <xf numFmtId="0" fontId="62" fillId="0" borderId="0" xfId="0" applyFont="1" applyAlignment="1">
      <alignment vertical="center" wrapText="1"/>
    </xf>
    <xf numFmtId="0" fontId="62" fillId="0" borderId="0" xfId="0" applyFont="1" applyAlignment="1">
      <alignment vertical="top" wrapText="1"/>
    </xf>
    <xf numFmtId="0" fontId="63" fillId="2" borderId="0" xfId="3" applyFont="1" applyFill="1"/>
    <xf numFmtId="0" fontId="32" fillId="2" borderId="0" xfId="3" applyFont="1" applyFill="1"/>
    <xf numFmtId="0" fontId="32" fillId="2" borderId="15" xfId="3" applyFont="1" applyFill="1" applyBorder="1" applyProtection="1">
      <protection locked="0"/>
    </xf>
    <xf numFmtId="0" fontId="32" fillId="2" borderId="33" xfId="3" applyFont="1" applyFill="1" applyBorder="1" applyAlignment="1" applyProtection="1">
      <alignment horizontal="left"/>
      <protection locked="0"/>
    </xf>
    <xf numFmtId="44" fontId="0" fillId="16" borderId="38" xfId="1" applyNumberFormat="1" applyFont="1" applyFill="1" applyBorder="1" applyProtection="1">
      <protection locked="0"/>
    </xf>
    <xf numFmtId="0" fontId="4" fillId="2" borderId="14" xfId="0" applyFont="1" applyFill="1" applyBorder="1" applyAlignment="1" applyProtection="1">
      <alignment horizontal="right"/>
    </xf>
    <xf numFmtId="0" fontId="4" fillId="2" borderId="6" xfId="0" applyFont="1" applyFill="1" applyBorder="1" applyAlignment="1" applyProtection="1">
      <alignment horizontal="right"/>
    </xf>
    <xf numFmtId="0" fontId="0" fillId="0" borderId="0" xfId="0" applyFont="1" applyBorder="1" applyAlignment="1" applyProtection="1">
      <alignment horizontal="center"/>
    </xf>
    <xf numFmtId="44" fontId="5" fillId="2" borderId="6" xfId="0" applyNumberFormat="1" applyFont="1" applyFill="1" applyBorder="1" applyAlignment="1" applyProtection="1">
      <alignment horizontal="center"/>
    </xf>
    <xf numFmtId="0" fontId="0" fillId="0" borderId="0" xfId="0" applyBorder="1" applyAlignment="1" applyProtection="1">
      <alignment horizontal="center"/>
    </xf>
    <xf numFmtId="0" fontId="4" fillId="13" borderId="0" xfId="0" applyFont="1" applyFill="1" applyBorder="1" applyAlignment="1" applyProtection="1">
      <alignment horizontal="right"/>
    </xf>
    <xf numFmtId="0" fontId="0" fillId="0" borderId="1" xfId="0" applyFont="1" applyBorder="1" applyAlignment="1" applyProtection="1">
      <alignment horizontal="center" vertical="center"/>
    </xf>
    <xf numFmtId="0" fontId="12" fillId="0" borderId="2" xfId="0" applyFont="1" applyBorder="1" applyAlignment="1" applyProtection="1">
      <alignment horizontal="right" vertical="center"/>
    </xf>
    <xf numFmtId="0" fontId="0" fillId="0" borderId="9" xfId="0" applyBorder="1" applyProtection="1"/>
    <xf numFmtId="0" fontId="12" fillId="23" borderId="12" xfId="0" applyFont="1" applyFill="1" applyBorder="1" applyAlignment="1" applyProtection="1">
      <alignment horizontal="right"/>
    </xf>
    <xf numFmtId="166" fontId="12" fillId="23" borderId="0" xfId="0" applyNumberFormat="1" applyFont="1" applyFill="1" applyProtection="1"/>
    <xf numFmtId="0" fontId="12" fillId="23" borderId="0" xfId="0" applyFont="1" applyFill="1" applyProtection="1"/>
    <xf numFmtId="0" fontId="12" fillId="23" borderId="13" xfId="0" applyFont="1" applyFill="1" applyBorder="1" applyProtection="1"/>
    <xf numFmtId="0" fontId="0" fillId="16" borderId="54" xfId="0" applyFont="1" applyFill="1" applyBorder="1" applyProtection="1">
      <protection locked="0"/>
    </xf>
    <xf numFmtId="44" fontId="0" fillId="16" borderId="54" xfId="1" applyNumberFormat="1" applyFont="1" applyFill="1" applyBorder="1" applyProtection="1">
      <protection locked="0"/>
    </xf>
    <xf numFmtId="0" fontId="0" fillId="0" borderId="54" xfId="0" applyFont="1" applyBorder="1" applyProtection="1">
      <protection locked="0"/>
    </xf>
    <xf numFmtId="44" fontId="0" fillId="0" borderId="54" xfId="1" applyNumberFormat="1" applyFont="1" applyBorder="1" applyProtection="1">
      <protection locked="0"/>
    </xf>
    <xf numFmtId="44" fontId="0" fillId="8" borderId="1" xfId="1" applyNumberFormat="1" applyFont="1" applyFill="1" applyBorder="1" applyAlignment="1" applyProtection="1">
      <alignment horizontal="center" vertical="center"/>
    </xf>
    <xf numFmtId="44" fontId="37" fillId="0" borderId="5" xfId="0" applyNumberFormat="1" applyFont="1" applyBorder="1" applyProtection="1"/>
    <xf numFmtId="0" fontId="37" fillId="0" borderId="36" xfId="0" applyFont="1" applyBorder="1" applyAlignment="1" applyProtection="1">
      <alignment horizontal="right"/>
    </xf>
    <xf numFmtId="44" fontId="37" fillId="0" borderId="11" xfId="0" applyNumberFormat="1" applyFont="1" applyBorder="1" applyProtection="1"/>
    <xf numFmtId="0" fontId="37" fillId="0" borderId="25" xfId="0" applyFont="1" applyBorder="1" applyAlignment="1" applyProtection="1">
      <alignment horizontal="right"/>
    </xf>
    <xf numFmtId="7" fontId="37" fillId="0" borderId="50" xfId="0" applyNumberFormat="1" applyFont="1" applyBorder="1" applyProtection="1"/>
    <xf numFmtId="7" fontId="37" fillId="21" borderId="50" xfId="0" applyNumberFormat="1" applyFont="1" applyFill="1" applyBorder="1" applyAlignment="1" applyProtection="1">
      <alignment horizontal="center" wrapText="1"/>
      <protection locked="0"/>
    </xf>
    <xf numFmtId="7" fontId="37" fillId="21" borderId="50" xfId="0" applyNumberFormat="1" applyFont="1" applyFill="1" applyBorder="1" applyProtection="1">
      <protection locked="0"/>
    </xf>
    <xf numFmtId="0" fontId="48" fillId="12" borderId="34" xfId="0" applyFont="1" applyFill="1" applyBorder="1" applyAlignment="1" applyProtection="1">
      <alignment horizontal="center" vertical="center" wrapText="1"/>
    </xf>
    <xf numFmtId="0" fontId="17" fillId="1" borderId="34" xfId="0" applyFont="1" applyFill="1" applyBorder="1" applyAlignment="1" applyProtection="1">
      <alignment vertical="center" wrapText="1"/>
    </xf>
    <xf numFmtId="1" fontId="40" fillId="0" borderId="14" xfId="0" applyNumberFormat="1" applyFont="1" applyBorder="1" applyAlignment="1" applyProtection="1">
      <alignment horizontal="right"/>
    </xf>
    <xf numFmtId="44" fontId="20" fillId="0" borderId="55" xfId="0" applyNumberFormat="1" applyFont="1" applyBorder="1" applyProtection="1"/>
    <xf numFmtId="7" fontId="37" fillId="12" borderId="55" xfId="0" applyNumberFormat="1" applyFont="1" applyFill="1" applyBorder="1" applyProtection="1"/>
    <xf numFmtId="7" fontId="37" fillId="0" borderId="55" xfId="0" applyNumberFormat="1" applyFont="1" applyBorder="1" applyProtection="1"/>
    <xf numFmtId="0" fontId="32" fillId="2" borderId="33" xfId="3" applyFont="1" applyFill="1" applyBorder="1" applyAlignment="1" applyProtection="1">
      <alignment horizontal="center"/>
      <protection locked="0"/>
    </xf>
    <xf numFmtId="7" fontId="37" fillId="11" borderId="11" xfId="0" applyNumberFormat="1" applyFont="1" applyFill="1" applyBorder="1" applyAlignment="1" applyProtection="1">
      <alignment horizontal="center" wrapText="1"/>
    </xf>
    <xf numFmtId="7" fontId="37" fillId="11" borderId="34" xfId="0" applyNumberFormat="1" applyFont="1" applyFill="1" applyBorder="1" applyProtection="1"/>
    <xf numFmtId="7" fontId="37" fillId="11" borderId="50" xfId="0" applyNumberFormat="1" applyFont="1" applyFill="1" applyBorder="1" applyAlignment="1" applyProtection="1">
      <alignment horizontal="center" wrapText="1"/>
    </xf>
    <xf numFmtId="7" fontId="37" fillId="11" borderId="50" xfId="0" applyNumberFormat="1" applyFont="1" applyFill="1" applyBorder="1" applyProtection="1"/>
    <xf numFmtId="7" fontId="20" fillId="21" borderId="1" xfId="0" applyNumberFormat="1" applyFont="1" applyFill="1" applyBorder="1" applyProtection="1">
      <protection locked="0"/>
    </xf>
    <xf numFmtId="7" fontId="20" fillId="21" borderId="50" xfId="0" applyNumberFormat="1" applyFont="1" applyFill="1" applyBorder="1" applyProtection="1">
      <protection locked="0"/>
    </xf>
    <xf numFmtId="0" fontId="38" fillId="0" borderId="36" xfId="0" applyFont="1" applyBorder="1" applyAlignment="1" applyProtection="1">
      <alignment vertical="top"/>
    </xf>
    <xf numFmtId="0" fontId="4" fillId="11" borderId="0" xfId="0" applyFont="1" applyFill="1" applyBorder="1" applyAlignment="1">
      <alignment horizontal="center"/>
    </xf>
    <xf numFmtId="0" fontId="4" fillId="11" borderId="0" xfId="0" applyFont="1" applyFill="1" applyBorder="1"/>
    <xf numFmtId="0" fontId="0" fillId="11" borderId="0" xfId="0" applyFill="1" applyBorder="1"/>
    <xf numFmtId="0" fontId="0" fillId="11" borderId="22" xfId="0" applyFill="1" applyBorder="1"/>
    <xf numFmtId="0" fontId="0" fillId="11" borderId="21" xfId="0" applyFill="1" applyBorder="1"/>
    <xf numFmtId="0" fontId="0" fillId="11" borderId="0" xfId="0" applyFill="1" applyBorder="1" applyAlignment="1">
      <alignment horizontal="center"/>
    </xf>
    <xf numFmtId="0" fontId="0" fillId="11" borderId="19" xfId="0" applyFill="1" applyBorder="1"/>
    <xf numFmtId="0" fontId="0" fillId="11" borderId="8" xfId="0" applyFill="1" applyBorder="1"/>
    <xf numFmtId="0" fontId="0" fillId="11" borderId="20" xfId="0" applyFill="1" applyBorder="1"/>
    <xf numFmtId="0" fontId="4" fillId="2" borderId="19" xfId="0" applyFont="1" applyFill="1" applyBorder="1"/>
    <xf numFmtId="171" fontId="0" fillId="4" borderId="20" xfId="0" applyNumberFormat="1" applyFill="1" applyBorder="1" applyProtection="1">
      <protection locked="0"/>
    </xf>
    <xf numFmtId="10" fontId="12" fillId="0" borderId="1" xfId="1" applyNumberFormat="1" applyFont="1" applyBorder="1" applyAlignment="1" applyProtection="1">
      <alignment horizontal="center" vertical="center"/>
    </xf>
    <xf numFmtId="175" fontId="12" fillId="0" borderId="1" xfId="1" applyNumberFormat="1" applyFont="1" applyFill="1" applyBorder="1" applyAlignment="1" applyProtection="1">
      <alignment vertical="center"/>
    </xf>
    <xf numFmtId="0" fontId="43" fillId="0" borderId="0" xfId="5" applyFont="1" applyAlignment="1">
      <alignment horizontal="left" vertical="top" wrapText="1"/>
    </xf>
    <xf numFmtId="44" fontId="43" fillId="0" borderId="0" xfId="5" applyNumberFormat="1" applyFont="1" applyAlignment="1">
      <alignment wrapText="1"/>
    </xf>
    <xf numFmtId="0" fontId="44" fillId="0" borderId="0" xfId="5" applyFont="1" applyAlignment="1">
      <alignment horizontal="right" wrapText="1"/>
    </xf>
    <xf numFmtId="9" fontId="43" fillId="0" borderId="0" xfId="5" applyNumberFormat="1" applyFont="1" applyAlignment="1">
      <alignment horizontal="right" wrapText="1"/>
    </xf>
    <xf numFmtId="3" fontId="44" fillId="0" borderId="0" xfId="5" applyNumberFormat="1" applyFont="1" applyAlignment="1">
      <alignment horizontal="right" wrapText="1"/>
    </xf>
    <xf numFmtId="9" fontId="43" fillId="0" borderId="0" xfId="5" applyNumberFormat="1" applyFont="1">
      <alignment vertical="top"/>
    </xf>
    <xf numFmtId="0" fontId="44" fillId="0" borderId="0" xfId="5" applyFont="1">
      <alignment vertical="top"/>
    </xf>
    <xf numFmtId="0" fontId="45" fillId="0" borderId="0" xfId="5">
      <alignment vertical="top"/>
    </xf>
    <xf numFmtId="0" fontId="44" fillId="0" borderId="0" xfId="5" applyFont="1" applyAlignment="1">
      <alignment horizontal="left" vertical="top" wrapText="1"/>
    </xf>
    <xf numFmtId="0" fontId="44" fillId="0" borderId="0" xfId="5" applyFont="1" applyAlignment="1">
      <alignment horizontal="center" vertical="top" wrapText="1"/>
    </xf>
    <xf numFmtId="44" fontId="44" fillId="0" borderId="0" xfId="5" applyNumberFormat="1" applyFont="1" applyAlignment="1">
      <alignment horizontal="right" wrapText="1"/>
    </xf>
    <xf numFmtId="39" fontId="43" fillId="0" borderId="0" xfId="5" applyNumberFormat="1" applyFont="1">
      <alignment vertical="top"/>
    </xf>
    <xf numFmtId="39" fontId="43" fillId="0" borderId="0" xfId="5" applyNumberFormat="1" applyFont="1" applyAlignment="1">
      <alignment horizontal="right" wrapText="1"/>
    </xf>
    <xf numFmtId="40" fontId="44" fillId="0" borderId="0" xfId="5" applyNumberFormat="1" applyFont="1" applyAlignment="1">
      <alignment horizontal="right" wrapText="1"/>
    </xf>
    <xf numFmtId="44" fontId="44" fillId="0" borderId="0" xfId="5" applyNumberFormat="1" applyFont="1">
      <alignment vertical="top"/>
    </xf>
    <xf numFmtId="0" fontId="44" fillId="0" borderId="0" xfId="5" applyFont="1" applyAlignment="1">
      <alignment vertical="top" wrapText="1"/>
    </xf>
    <xf numFmtId="39" fontId="44" fillId="0" borderId="0" xfId="5" applyNumberFormat="1" applyFont="1" applyAlignment="1">
      <alignment horizontal="right" wrapText="1"/>
    </xf>
    <xf numFmtId="0" fontId="46" fillId="0" borderId="1" xfId="5" applyFont="1" applyBorder="1" applyAlignment="1">
      <alignment horizontal="left" wrapText="1"/>
    </xf>
    <xf numFmtId="0" fontId="46" fillId="0" borderId="1" xfId="5" applyFont="1" applyBorder="1" applyAlignment="1">
      <alignment horizontal="right" wrapText="1"/>
    </xf>
    <xf numFmtId="167" fontId="47" fillId="0" borderId="1" xfId="5" applyNumberFormat="1" applyFont="1" applyBorder="1" applyAlignment="1">
      <alignment horizontal="right" wrapText="1"/>
    </xf>
    <xf numFmtId="0" fontId="47" fillId="0" borderId="1" xfId="5" applyFont="1" applyBorder="1" applyAlignment="1">
      <alignment horizontal="right" wrapText="1"/>
    </xf>
    <xf numFmtId="0" fontId="46" fillId="0" borderId="0" xfId="5" applyFont="1" applyAlignment="1">
      <alignment horizontal="left" wrapText="1"/>
    </xf>
    <xf numFmtId="0" fontId="46" fillId="8" borderId="1" xfId="5" applyFont="1" applyFill="1" applyBorder="1" applyAlignment="1">
      <alignment horizontal="left" wrapText="1"/>
    </xf>
    <xf numFmtId="3" fontId="46" fillId="0" borderId="1" xfId="5" applyNumberFormat="1" applyFont="1" applyBorder="1" applyAlignment="1">
      <alignment horizontal="right" wrapText="1"/>
    </xf>
    <xf numFmtId="9" fontId="47" fillId="0" borderId="1" xfId="5" applyNumberFormat="1" applyFont="1" applyBorder="1" applyAlignment="1">
      <alignment horizontal="right" wrapText="1"/>
    </xf>
    <xf numFmtId="44" fontId="47" fillId="0" borderId="1" xfId="5" applyNumberFormat="1" applyFont="1" applyBorder="1" applyAlignment="1">
      <alignment horizontal="right" wrapText="1"/>
    </xf>
    <xf numFmtId="40" fontId="47" fillId="0" borderId="1" xfId="5" applyNumberFormat="1" applyFont="1" applyBorder="1" applyAlignment="1">
      <alignment horizontal="right" wrapText="1"/>
    </xf>
    <xf numFmtId="38" fontId="47" fillId="0" borderId="1" xfId="5" applyNumberFormat="1" applyFont="1" applyBorder="1" applyAlignment="1">
      <alignment horizontal="right" wrapText="1"/>
    </xf>
    <xf numFmtId="49" fontId="45" fillId="0" borderId="1" xfId="5" applyNumberFormat="1" applyBorder="1" applyAlignment="1">
      <alignment horizontal="left"/>
    </xf>
    <xf numFmtId="0" fontId="45" fillId="0" borderId="1" xfId="5" applyBorder="1" applyAlignment="1"/>
    <xf numFmtId="3" fontId="45" fillId="0" borderId="1" xfId="5" applyNumberFormat="1" applyBorder="1" applyAlignment="1">
      <alignment horizontal="right" wrapText="1"/>
    </xf>
    <xf numFmtId="168" fontId="44" fillId="0" borderId="1" xfId="5" applyNumberFormat="1" applyFont="1" applyBorder="1" applyAlignment="1">
      <alignment horizontal="right" wrapText="1"/>
    </xf>
    <xf numFmtId="44" fontId="44" fillId="0" borderId="1" xfId="5" applyNumberFormat="1" applyFont="1" applyBorder="1" applyAlignment="1">
      <alignment horizontal="right" wrapText="1"/>
    </xf>
    <xf numFmtId="40" fontId="45" fillId="0" borderId="1" xfId="6" applyNumberFormat="1" applyBorder="1">
      <alignment vertical="top"/>
    </xf>
    <xf numFmtId="38" fontId="45" fillId="0" borderId="1" xfId="5" applyNumberFormat="1" applyBorder="1" applyAlignment="1"/>
    <xf numFmtId="44" fontId="45" fillId="0" borderId="1" xfId="5" applyNumberFormat="1" applyBorder="1" applyAlignment="1"/>
    <xf numFmtId="49" fontId="45" fillId="0" borderId="1" xfId="5" quotePrefix="1" applyNumberFormat="1" applyBorder="1" applyAlignment="1">
      <alignment horizontal="left"/>
    </xf>
    <xf numFmtId="49" fontId="45" fillId="0" borderId="50" xfId="5" applyNumberFormat="1" applyBorder="1" applyAlignment="1">
      <alignment horizontal="left"/>
    </xf>
    <xf numFmtId="0" fontId="45" fillId="0" borderId="50" xfId="5" applyBorder="1" applyAlignment="1"/>
    <xf numFmtId="3" fontId="45" fillId="0" borderId="50" xfId="5" applyNumberFormat="1" applyBorder="1" applyAlignment="1">
      <alignment horizontal="right" wrapText="1"/>
    </xf>
    <xf numFmtId="168" fontId="44" fillId="0" borderId="50" xfId="5" applyNumberFormat="1" applyFont="1" applyBorder="1" applyAlignment="1">
      <alignment horizontal="right" wrapText="1"/>
    </xf>
    <xf numFmtId="44" fontId="44" fillId="0" borderId="50" xfId="5" applyNumberFormat="1" applyFont="1" applyBorder="1" applyAlignment="1">
      <alignment horizontal="right" wrapText="1"/>
    </xf>
    <xf numFmtId="40" fontId="45" fillId="0" borderId="50" xfId="6" applyNumberFormat="1" applyBorder="1">
      <alignment vertical="top"/>
    </xf>
    <xf numFmtId="38" fontId="45" fillId="0" borderId="50" xfId="5" applyNumberFormat="1" applyBorder="1" applyAlignment="1"/>
    <xf numFmtId="44" fontId="45" fillId="0" borderId="50" xfId="5" applyNumberFormat="1" applyBorder="1" applyAlignment="1"/>
    <xf numFmtId="0" fontId="45" fillId="0" borderId="8" xfId="5" applyBorder="1">
      <alignment vertical="top"/>
    </xf>
    <xf numFmtId="0" fontId="45" fillId="0" borderId="34" xfId="5" applyBorder="1" applyAlignment="1">
      <alignment horizontal="left" vertical="top" wrapText="1"/>
    </xf>
    <xf numFmtId="0" fontId="45" fillId="0" borderId="34" xfId="5" applyBorder="1" applyAlignment="1">
      <alignment vertical="top" wrapText="1"/>
    </xf>
    <xf numFmtId="3" fontId="45" fillId="0" borderId="34" xfId="5" applyNumberFormat="1" applyBorder="1" applyAlignment="1">
      <alignment horizontal="right" wrapText="1"/>
    </xf>
    <xf numFmtId="168" fontId="44" fillId="0" borderId="34" xfId="5" applyNumberFormat="1" applyFont="1" applyBorder="1" applyAlignment="1">
      <alignment horizontal="right" wrapText="1"/>
    </xf>
    <xf numFmtId="44" fontId="44" fillId="0" borderId="34" xfId="5" applyNumberFormat="1" applyFont="1" applyBorder="1" applyAlignment="1">
      <alignment horizontal="right" wrapText="1"/>
    </xf>
    <xf numFmtId="40" fontId="45" fillId="0" borderId="34" xfId="6" applyNumberFormat="1" applyBorder="1">
      <alignment vertical="top"/>
    </xf>
    <xf numFmtId="38" fontId="45" fillId="0" borderId="34" xfId="5" applyNumberFormat="1" applyBorder="1" applyAlignment="1"/>
    <xf numFmtId="44" fontId="45" fillId="0" borderId="34" xfId="5" applyNumberFormat="1" applyBorder="1" applyAlignment="1"/>
    <xf numFmtId="0" fontId="45" fillId="0" borderId="10" xfId="5" applyBorder="1">
      <alignment vertical="top"/>
    </xf>
    <xf numFmtId="0" fontId="45" fillId="26" borderId="1" xfId="5" applyFill="1" applyBorder="1" applyAlignment="1">
      <alignment horizontal="left" vertical="top" wrapText="1"/>
    </xf>
    <xf numFmtId="0" fontId="45" fillId="26" borderId="1" xfId="5" applyFill="1" applyBorder="1" applyAlignment="1">
      <alignment vertical="top" wrapText="1"/>
    </xf>
    <xf numFmtId="3" fontId="45" fillId="26" borderId="1" xfId="5" applyNumberFormat="1" applyFill="1" applyBorder="1" applyAlignment="1">
      <alignment horizontal="right" wrapText="1"/>
    </xf>
    <xf numFmtId="168" fontId="44" fillId="26" borderId="1" xfId="5" applyNumberFormat="1" applyFont="1" applyFill="1" applyBorder="1" applyAlignment="1">
      <alignment horizontal="right" wrapText="1"/>
    </xf>
    <xf numFmtId="44" fontId="44" fillId="26" borderId="1" xfId="5" applyNumberFormat="1" applyFont="1" applyFill="1" applyBorder="1" applyAlignment="1">
      <alignment horizontal="right" wrapText="1"/>
    </xf>
    <xf numFmtId="40" fontId="45" fillId="26" borderId="1" xfId="6" applyNumberFormat="1" applyFill="1" applyBorder="1">
      <alignment vertical="top"/>
    </xf>
    <xf numFmtId="38" fontId="45" fillId="26" borderId="1" xfId="5" applyNumberFormat="1" applyFill="1" applyBorder="1" applyAlignment="1"/>
    <xf numFmtId="44" fontId="45" fillId="26" borderId="1" xfId="5" applyNumberFormat="1" applyFill="1" applyBorder="1" applyAlignment="1"/>
    <xf numFmtId="0" fontId="45" fillId="0" borderId="1" xfId="5" applyBorder="1" applyAlignment="1">
      <alignment horizontal="left" vertical="top" wrapText="1"/>
    </xf>
    <xf numFmtId="0" fontId="45" fillId="0" borderId="1" xfId="5" applyBorder="1" applyAlignment="1">
      <alignment vertical="top" wrapText="1"/>
    </xf>
    <xf numFmtId="0" fontId="45" fillId="27" borderId="1" xfId="5" applyFill="1" applyBorder="1" applyAlignment="1">
      <alignment horizontal="left" vertical="top" wrapText="1"/>
    </xf>
    <xf numFmtId="0" fontId="45" fillId="27" borderId="1" xfId="5" applyFill="1" applyBorder="1" applyAlignment="1">
      <alignment vertical="top" wrapText="1"/>
    </xf>
    <xf numFmtId="3" fontId="45" fillId="27" borderId="1" xfId="5" applyNumberFormat="1" applyFill="1" applyBorder="1" applyAlignment="1">
      <alignment horizontal="right" wrapText="1"/>
    </xf>
    <xf numFmtId="168" fontId="44" fillId="27" borderId="1" xfId="5" applyNumberFormat="1" applyFont="1" applyFill="1" applyBorder="1" applyAlignment="1">
      <alignment horizontal="right" wrapText="1"/>
    </xf>
    <xf numFmtId="44" fontId="44" fillId="27" borderId="1" xfId="5" applyNumberFormat="1" applyFont="1" applyFill="1" applyBorder="1" applyAlignment="1">
      <alignment horizontal="right" wrapText="1"/>
    </xf>
    <xf numFmtId="40" fontId="45" fillId="27" borderId="1" xfId="6" applyNumberFormat="1" applyFill="1" applyBorder="1">
      <alignment vertical="top"/>
    </xf>
    <xf numFmtId="38" fontId="45" fillId="27" borderId="1" xfId="5" applyNumberFormat="1" applyFill="1" applyBorder="1" applyAlignment="1"/>
    <xf numFmtId="44" fontId="45" fillId="27" borderId="1" xfId="5" applyNumberFormat="1" applyFill="1" applyBorder="1" applyAlignment="1"/>
    <xf numFmtId="0" fontId="45" fillId="28" borderId="1" xfId="5" applyFill="1" applyBorder="1" applyAlignment="1">
      <alignment horizontal="left" vertical="top" wrapText="1"/>
    </xf>
    <xf numFmtId="0" fontId="45" fillId="28" borderId="1" xfId="5" applyFill="1" applyBorder="1" applyAlignment="1">
      <alignment vertical="top" wrapText="1"/>
    </xf>
    <xf numFmtId="3" fontId="45" fillId="28" borderId="1" xfId="5" applyNumberFormat="1" applyFill="1" applyBorder="1" applyAlignment="1">
      <alignment horizontal="right" wrapText="1"/>
    </xf>
    <xf numFmtId="168" fontId="44" fillId="28" borderId="1" xfId="5" applyNumberFormat="1" applyFont="1" applyFill="1" applyBorder="1" applyAlignment="1">
      <alignment horizontal="right" wrapText="1"/>
    </xf>
    <xf numFmtId="44" fontId="44" fillId="28" borderId="1" xfId="5" applyNumberFormat="1" applyFont="1" applyFill="1" applyBorder="1" applyAlignment="1">
      <alignment horizontal="right" wrapText="1"/>
    </xf>
    <xf numFmtId="40" fontId="45" fillId="28" borderId="1" xfId="6" applyNumberFormat="1" applyFill="1" applyBorder="1">
      <alignment vertical="top"/>
    </xf>
    <xf numFmtId="38" fontId="45" fillId="28" borderId="1" xfId="5" applyNumberFormat="1" applyFill="1" applyBorder="1" applyAlignment="1"/>
    <xf numFmtId="44" fontId="45" fillId="28" borderId="1" xfId="5" applyNumberFormat="1" applyFill="1" applyBorder="1" applyAlignment="1"/>
    <xf numFmtId="0" fontId="45" fillId="0" borderId="1" xfId="5" applyBorder="1" applyAlignment="1">
      <alignment horizontal="right" wrapText="1"/>
    </xf>
    <xf numFmtId="0" fontId="45" fillId="26" borderId="1" xfId="5" applyFill="1" applyBorder="1" applyAlignment="1">
      <alignment horizontal="right" wrapText="1"/>
    </xf>
    <xf numFmtId="0" fontId="45" fillId="28" borderId="1" xfId="5" applyFill="1" applyBorder="1" applyAlignment="1">
      <alignment horizontal="right" wrapText="1"/>
    </xf>
    <xf numFmtId="0" fontId="45" fillId="0" borderId="1" xfId="5" applyBorder="1" applyAlignment="1">
      <alignment horizontal="left" vertical="top"/>
    </xf>
    <xf numFmtId="0" fontId="45" fillId="0" borderId="1" xfId="5" applyBorder="1">
      <alignment vertical="top"/>
    </xf>
    <xf numFmtId="0" fontId="45" fillId="0" borderId="0" xfId="5" applyAlignment="1">
      <alignment horizontal="left" vertical="top" wrapText="1"/>
    </xf>
    <xf numFmtId="0" fontId="45" fillId="0" borderId="0" xfId="5" applyAlignment="1">
      <alignment vertical="top" wrapText="1"/>
    </xf>
    <xf numFmtId="0" fontId="45" fillId="0" borderId="0" xfId="5" quotePrefix="1" applyAlignment="1">
      <alignment horizontal="right" wrapText="1"/>
    </xf>
    <xf numFmtId="167" fontId="45" fillId="0" borderId="0" xfId="5" applyNumberFormat="1" applyAlignment="1">
      <alignment vertical="top" wrapText="1"/>
    </xf>
    <xf numFmtId="0" fontId="45" fillId="0" borderId="0" xfId="5" applyAlignment="1">
      <alignment horizontal="right" wrapText="1"/>
    </xf>
    <xf numFmtId="0" fontId="45" fillId="27" borderId="0" xfId="5" applyFill="1">
      <alignment vertical="top"/>
    </xf>
    <xf numFmtId="0" fontId="45" fillId="27" borderId="0" xfId="5" applyFill="1" applyAlignment="1">
      <alignment horizontal="right" wrapText="1"/>
    </xf>
    <xf numFmtId="167" fontId="45" fillId="27" borderId="0" xfId="5" applyNumberFormat="1" applyFill="1" applyAlignment="1">
      <alignment vertical="top" wrapText="1"/>
    </xf>
    <xf numFmtId="0" fontId="45" fillId="27" borderId="0" xfId="5" applyFill="1" applyAlignment="1">
      <alignment vertical="top" wrapText="1"/>
    </xf>
    <xf numFmtId="0" fontId="45" fillId="26" borderId="0" xfId="5" applyFill="1">
      <alignment vertical="top"/>
    </xf>
    <xf numFmtId="0" fontId="45" fillId="26" borderId="0" xfId="5" applyFill="1" applyAlignment="1">
      <alignment horizontal="right" wrapText="1"/>
    </xf>
    <xf numFmtId="167" fontId="45" fillId="26" borderId="0" xfId="5" applyNumberFormat="1" applyFill="1" applyAlignment="1">
      <alignment vertical="top" wrapText="1"/>
    </xf>
    <xf numFmtId="0" fontId="45" fillId="26" borderId="0" xfId="5" applyFill="1" applyAlignment="1">
      <alignment vertical="top" wrapText="1"/>
    </xf>
    <xf numFmtId="0" fontId="45" fillId="28" borderId="0" xfId="5" applyFill="1">
      <alignment vertical="top"/>
    </xf>
    <xf numFmtId="0" fontId="45" fillId="28" borderId="0" xfId="5" applyFill="1" applyAlignment="1">
      <alignment horizontal="right" wrapText="1"/>
    </xf>
    <xf numFmtId="167" fontId="45" fillId="28" borderId="0" xfId="5" applyNumberFormat="1" applyFill="1" applyAlignment="1">
      <alignment vertical="top" wrapText="1"/>
    </xf>
    <xf numFmtId="0" fontId="45" fillId="28" borderId="0" xfId="5" applyFill="1" applyAlignment="1">
      <alignment vertical="top" wrapText="1"/>
    </xf>
    <xf numFmtId="0" fontId="42" fillId="3" borderId="35" xfId="3" applyFont="1" applyFill="1" applyBorder="1" applyAlignment="1" applyProtection="1">
      <protection locked="0"/>
    </xf>
    <xf numFmtId="0" fontId="29" fillId="0" borderId="0" xfId="3" applyFont="1" applyAlignment="1" applyProtection="1">
      <alignment vertical="center" wrapText="1"/>
    </xf>
    <xf numFmtId="0" fontId="28" fillId="0" borderId="0" xfId="3" applyFont="1" applyAlignment="1" applyProtection="1">
      <alignment vertical="center" wrapText="1"/>
    </xf>
    <xf numFmtId="0" fontId="53" fillId="2" borderId="12" xfId="0" applyFont="1" applyFill="1" applyBorder="1" applyProtection="1"/>
    <xf numFmtId="0" fontId="53" fillId="2" borderId="0" xfId="0" applyFont="1" applyFill="1" applyBorder="1" applyProtection="1"/>
    <xf numFmtId="0" fontId="22" fillId="2" borderId="11" xfId="3" applyFill="1" applyBorder="1" applyAlignment="1" applyProtection="1">
      <alignment horizontal="center" vertical="center" wrapText="1"/>
    </xf>
    <xf numFmtId="0" fontId="0" fillId="0" borderId="12" xfId="0" applyFont="1" applyFill="1" applyBorder="1" applyAlignment="1" applyProtection="1">
      <alignment horizontal="center" wrapText="1"/>
    </xf>
    <xf numFmtId="0" fontId="0" fillId="0" borderId="0" xfId="0" applyFont="1" applyFill="1" applyBorder="1" applyAlignment="1" applyProtection="1">
      <alignment horizontal="center" wrapText="1"/>
    </xf>
    <xf numFmtId="0" fontId="0" fillId="0" borderId="13" xfId="0" applyFont="1" applyFill="1" applyBorder="1" applyAlignment="1" applyProtection="1">
      <alignment horizontal="center" wrapText="1"/>
    </xf>
    <xf numFmtId="44" fontId="5" fillId="2" borderId="6" xfId="0" applyNumberFormat="1" applyFont="1" applyFill="1" applyBorder="1" applyAlignment="1" applyProtection="1">
      <alignment horizontal="center"/>
    </xf>
    <xf numFmtId="44" fontId="5" fillId="2" borderId="18" xfId="0" applyNumberFormat="1" applyFont="1" applyFill="1" applyBorder="1" applyAlignment="1" applyProtection="1">
      <alignment horizontal="center"/>
    </xf>
    <xf numFmtId="0" fontId="12" fillId="21" borderId="0" xfId="0" applyFont="1" applyFill="1" applyBorder="1" applyAlignment="1" applyProtection="1">
      <alignment horizontal="left" vertical="center"/>
    </xf>
    <xf numFmtId="0" fontId="12" fillId="21" borderId="8" xfId="0" applyFont="1" applyFill="1" applyBorder="1" applyAlignment="1" applyProtection="1">
      <alignment horizontal="center" vertical="center"/>
      <protection locked="0"/>
    </xf>
    <xf numFmtId="172" fontId="12" fillId="21" borderId="8" xfId="0" applyNumberFormat="1" applyFont="1" applyFill="1" applyBorder="1" applyAlignment="1" applyProtection="1">
      <alignment horizontal="center" vertical="center"/>
      <protection locked="0"/>
    </xf>
    <xf numFmtId="172" fontId="12" fillId="21" borderId="49" xfId="0" applyNumberFormat="1" applyFont="1" applyFill="1" applyBorder="1" applyAlignment="1" applyProtection="1">
      <alignment horizontal="center" vertical="center"/>
      <protection locked="0"/>
    </xf>
    <xf numFmtId="0" fontId="12" fillId="21" borderId="49" xfId="0" applyFont="1" applyFill="1" applyBorder="1" applyAlignment="1" applyProtection="1">
      <alignment horizontal="center" vertical="center"/>
      <protection locked="0"/>
    </xf>
    <xf numFmtId="0" fontId="4" fillId="2" borderId="14" xfId="0" applyFont="1" applyFill="1" applyBorder="1" applyAlignment="1" applyProtection="1">
      <alignment horizontal="right"/>
    </xf>
    <xf numFmtId="0" fontId="4" fillId="2" borderId="6" xfId="0" applyFont="1" applyFill="1" applyBorder="1" applyAlignment="1" applyProtection="1">
      <alignment horizontal="right"/>
    </xf>
    <xf numFmtId="165" fontId="5" fillId="2" borderId="17" xfId="0" applyNumberFormat="1" applyFont="1" applyFill="1" applyBorder="1" applyAlignment="1" applyProtection="1">
      <alignment horizontal="left"/>
    </xf>
    <xf numFmtId="165" fontId="5" fillId="2" borderId="18" xfId="0" applyNumberFormat="1" applyFont="1" applyFill="1" applyBorder="1" applyAlignment="1" applyProtection="1">
      <alignment horizontal="left"/>
    </xf>
    <xf numFmtId="10" fontId="0" fillId="0" borderId="8" xfId="2" applyNumberFormat="1" applyFont="1" applyBorder="1" applyAlignment="1" applyProtection="1">
      <alignment horizontal="center" vertical="center"/>
    </xf>
    <xf numFmtId="44" fontId="5" fillId="2" borderId="14" xfId="0" applyNumberFormat="1" applyFont="1" applyFill="1" applyBorder="1" applyAlignment="1" applyProtection="1">
      <alignment horizontal="center"/>
    </xf>
    <xf numFmtId="44" fontId="5" fillId="2" borderId="27" xfId="0" applyNumberFormat="1" applyFont="1" applyFill="1" applyBorder="1" applyAlignment="1" applyProtection="1">
      <alignment horizontal="center"/>
    </xf>
    <xf numFmtId="44" fontId="5" fillId="2" borderId="17" xfId="0" applyNumberFormat="1" applyFont="1" applyFill="1" applyBorder="1" applyAlignment="1" applyProtection="1">
      <alignment horizontal="center"/>
    </xf>
    <xf numFmtId="44" fontId="4" fillId="14" borderId="14" xfId="0" applyNumberFormat="1" applyFont="1" applyFill="1" applyBorder="1" applyAlignment="1" applyProtection="1">
      <alignment horizontal="center"/>
    </xf>
    <xf numFmtId="44" fontId="4" fillId="14" borderId="27" xfId="0" applyNumberFormat="1" applyFont="1" applyFill="1" applyBorder="1" applyAlignment="1" applyProtection="1">
      <alignment horizontal="center"/>
    </xf>
    <xf numFmtId="0" fontId="0" fillId="0" borderId="0" xfId="0" applyFont="1" applyBorder="1" applyAlignment="1" applyProtection="1">
      <alignment horizontal="center"/>
    </xf>
    <xf numFmtId="0" fontId="68" fillId="24" borderId="28" xfId="0" applyFont="1" applyFill="1" applyBorder="1" applyAlignment="1" applyProtection="1">
      <alignment horizontal="center" vertical="center"/>
    </xf>
    <xf numFmtId="0" fontId="68" fillId="24" borderId="7" xfId="0" applyFont="1" applyFill="1" applyBorder="1" applyAlignment="1" applyProtection="1">
      <alignment horizontal="center" vertical="center"/>
    </xf>
    <xf numFmtId="0" fontId="68" fillId="24" borderId="29" xfId="0" applyFont="1" applyFill="1" applyBorder="1" applyAlignment="1" applyProtection="1">
      <alignment horizontal="center" vertical="center"/>
    </xf>
    <xf numFmtId="0" fontId="68" fillId="24" borderId="19" xfId="0" applyFont="1" applyFill="1" applyBorder="1" applyAlignment="1" applyProtection="1">
      <alignment horizontal="center" vertical="center"/>
    </xf>
    <xf numFmtId="0" fontId="68" fillId="24" borderId="8" xfId="0" applyFont="1" applyFill="1" applyBorder="1" applyAlignment="1" applyProtection="1">
      <alignment horizontal="center" vertical="center"/>
    </xf>
    <xf numFmtId="0" fontId="68" fillId="24" borderId="20" xfId="0" applyFont="1" applyFill="1" applyBorder="1" applyAlignment="1" applyProtection="1">
      <alignment horizontal="center" vertical="center"/>
    </xf>
    <xf numFmtId="0" fontId="69" fillId="25" borderId="12" xfId="0" applyFont="1" applyFill="1" applyBorder="1" applyAlignment="1" applyProtection="1">
      <alignment vertical="top" wrapText="1"/>
    </xf>
    <xf numFmtId="0" fontId="69" fillId="25" borderId="0" xfId="0" applyFont="1" applyFill="1" applyBorder="1" applyAlignment="1" applyProtection="1">
      <alignment vertical="top" wrapText="1"/>
    </xf>
    <xf numFmtId="0" fontId="69" fillId="25" borderId="13" xfId="0" applyFont="1" applyFill="1" applyBorder="1" applyAlignment="1" applyProtection="1">
      <alignment vertical="top" wrapText="1"/>
    </xf>
    <xf numFmtId="0" fontId="69" fillId="25" borderId="36" xfId="0" applyFont="1" applyFill="1" applyBorder="1" applyAlignment="1" applyProtection="1">
      <alignment vertical="top" wrapText="1"/>
    </xf>
    <xf numFmtId="0" fontId="69" fillId="25" borderId="10" xfId="0" applyFont="1" applyFill="1" applyBorder="1" applyAlignment="1" applyProtection="1">
      <alignment vertical="top" wrapText="1"/>
    </xf>
    <xf numFmtId="0" fontId="69" fillId="25" borderId="35" xfId="0" applyFont="1" applyFill="1" applyBorder="1" applyAlignment="1" applyProtection="1">
      <alignment vertical="top" wrapText="1"/>
    </xf>
    <xf numFmtId="0" fontId="4" fillId="2" borderId="17" xfId="0" applyFont="1" applyFill="1" applyBorder="1" applyAlignment="1" applyProtection="1">
      <alignment horizontal="right"/>
    </xf>
    <xf numFmtId="165" fontId="0" fillId="21" borderId="17" xfId="0" applyNumberFormat="1" applyFont="1" applyFill="1" applyBorder="1" applyAlignment="1" applyProtection="1">
      <alignment horizontal="left"/>
      <protection locked="0"/>
    </xf>
    <xf numFmtId="165" fontId="0" fillId="21" borderId="18" xfId="0" applyNumberFormat="1" applyFont="1" applyFill="1" applyBorder="1" applyAlignment="1" applyProtection="1">
      <alignment horizontal="left"/>
      <protection locked="0"/>
    </xf>
    <xf numFmtId="0" fontId="68" fillId="24" borderId="17" xfId="0" applyFont="1" applyFill="1" applyBorder="1" applyAlignment="1" applyProtection="1">
      <alignment horizontal="center" vertical="center"/>
    </xf>
    <xf numFmtId="0" fontId="68" fillId="24" borderId="6" xfId="0" applyFont="1" applyFill="1" applyBorder="1" applyAlignment="1" applyProtection="1">
      <alignment horizontal="center" vertical="center"/>
    </xf>
    <xf numFmtId="0" fontId="68" fillId="24" borderId="18" xfId="0" applyFont="1" applyFill="1" applyBorder="1" applyAlignment="1" applyProtection="1">
      <alignment horizontal="center" vertical="center"/>
    </xf>
    <xf numFmtId="0" fontId="22" fillId="25" borderId="12" xfId="3" applyFont="1" applyFill="1" applyBorder="1" applyAlignment="1" applyProtection="1">
      <alignment vertical="top" wrapText="1"/>
      <protection locked="0"/>
    </xf>
    <xf numFmtId="0" fontId="71" fillId="25" borderId="0" xfId="3" applyFont="1" applyFill="1" applyBorder="1" applyAlignment="1" applyProtection="1">
      <alignment vertical="top" wrapText="1"/>
      <protection locked="0"/>
    </xf>
    <xf numFmtId="0" fontId="71" fillId="25" borderId="13" xfId="3" applyFont="1" applyFill="1" applyBorder="1" applyAlignment="1" applyProtection="1">
      <alignment vertical="top" wrapText="1"/>
      <protection locked="0"/>
    </xf>
    <xf numFmtId="0" fontId="71" fillId="25" borderId="12" xfId="3" applyFont="1" applyFill="1" applyBorder="1" applyAlignment="1" applyProtection="1">
      <alignment vertical="top" wrapText="1"/>
      <protection locked="0"/>
    </xf>
    <xf numFmtId="0" fontId="71" fillId="25" borderId="36" xfId="3" applyFont="1" applyFill="1" applyBorder="1" applyAlignment="1" applyProtection="1">
      <alignment vertical="top" wrapText="1"/>
      <protection locked="0"/>
    </xf>
    <xf numFmtId="0" fontId="71" fillId="25" borderId="10" xfId="3" applyFont="1" applyFill="1" applyBorder="1" applyAlignment="1" applyProtection="1">
      <alignment vertical="top" wrapText="1"/>
      <protection locked="0"/>
    </xf>
    <xf numFmtId="0" fontId="71" fillId="25" borderId="35" xfId="3" applyFont="1" applyFill="1" applyBorder="1" applyAlignment="1" applyProtection="1">
      <alignment vertical="top" wrapText="1"/>
      <protection locked="0"/>
    </xf>
    <xf numFmtId="0" fontId="7" fillId="8" borderId="1"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12" fillId="0" borderId="16" xfId="0" applyFont="1" applyFill="1" applyBorder="1" applyAlignment="1" applyProtection="1">
      <alignment horizontal="right"/>
    </xf>
    <xf numFmtId="0" fontId="12" fillId="0" borderId="8" xfId="0" applyFont="1" applyFill="1" applyBorder="1" applyAlignment="1" applyProtection="1">
      <alignment horizontal="right"/>
    </xf>
    <xf numFmtId="0" fontId="12" fillId="0" borderId="6" xfId="0" applyFont="1" applyFill="1" applyBorder="1" applyAlignment="1" applyProtection="1">
      <alignment horizontal="right"/>
    </xf>
    <xf numFmtId="44" fontId="12" fillId="9" borderId="17" xfId="0" applyNumberFormat="1" applyFont="1" applyFill="1" applyBorder="1" applyAlignment="1" applyProtection="1">
      <alignment horizontal="left"/>
    </xf>
    <xf numFmtId="44" fontId="12" fillId="9" borderId="6" xfId="0" applyNumberFormat="1" applyFont="1" applyFill="1" applyBorder="1" applyAlignment="1" applyProtection="1">
      <alignment horizontal="left"/>
    </xf>
    <xf numFmtId="44" fontId="12" fillId="9" borderId="18" xfId="0" applyNumberFormat="1" applyFont="1" applyFill="1" applyBorder="1" applyAlignment="1" applyProtection="1">
      <alignment horizontal="left"/>
    </xf>
    <xf numFmtId="0" fontId="4" fillId="11" borderId="0" xfId="0" applyFont="1" applyFill="1" applyBorder="1" applyAlignment="1" applyProtection="1">
      <alignment horizontal="center" vertical="center"/>
    </xf>
    <xf numFmtId="0" fontId="4" fillId="11" borderId="13" xfId="0" applyFont="1" applyFill="1" applyBorder="1" applyAlignment="1" applyProtection="1">
      <alignment horizontal="center" vertical="center"/>
    </xf>
    <xf numFmtId="0" fontId="22" fillId="21" borderId="8" xfId="3" applyFill="1" applyBorder="1" applyAlignment="1" applyProtection="1">
      <alignment horizontal="center" vertical="center"/>
      <protection locked="0"/>
    </xf>
    <xf numFmtId="0" fontId="0" fillId="21" borderId="8" xfId="0" applyFill="1" applyBorder="1" applyAlignment="1" applyProtection="1">
      <alignment horizontal="center" vertical="center"/>
      <protection locked="0"/>
    </xf>
    <xf numFmtId="0" fontId="22" fillId="21" borderId="6" xfId="3" applyFill="1" applyBorder="1" applyAlignment="1" applyProtection="1">
      <alignment horizontal="center" vertical="center"/>
      <protection locked="0"/>
    </xf>
    <xf numFmtId="0" fontId="0" fillId="21" borderId="6" xfId="0" applyFill="1" applyBorder="1" applyAlignment="1" applyProtection="1">
      <alignment horizontal="center" vertical="center"/>
      <protection locked="0"/>
    </xf>
    <xf numFmtId="0" fontId="12" fillId="5" borderId="12" xfId="0" applyFont="1" applyFill="1" applyBorder="1" applyAlignment="1" applyProtection="1">
      <alignment horizontal="center" vertical="center"/>
    </xf>
    <xf numFmtId="0" fontId="12" fillId="5" borderId="0" xfId="0" applyFont="1" applyFill="1" applyBorder="1" applyAlignment="1" applyProtection="1">
      <alignment horizontal="center" vertical="center"/>
    </xf>
    <xf numFmtId="0" fontId="0" fillId="21" borderId="0" xfId="0" applyFont="1" applyFill="1" applyBorder="1" applyAlignment="1" applyProtection="1">
      <alignment horizontal="center" vertical="center"/>
      <protection locked="0"/>
    </xf>
    <xf numFmtId="0" fontId="0" fillId="21" borderId="13" xfId="0" applyFont="1" applyFill="1" applyBorder="1" applyAlignment="1" applyProtection="1">
      <alignment horizontal="center" vertical="center"/>
      <protection locked="0"/>
    </xf>
    <xf numFmtId="0" fontId="12" fillId="21" borderId="6" xfId="0" applyFont="1" applyFill="1" applyBorder="1" applyAlignment="1" applyProtection="1">
      <alignment horizontal="center" vertical="center"/>
      <protection locked="0"/>
    </xf>
    <xf numFmtId="0" fontId="0" fillId="8" borderId="1" xfId="0" applyFill="1" applyBorder="1" applyAlignment="1" applyProtection="1">
      <alignment horizontal="center"/>
      <protection locked="0"/>
    </xf>
    <xf numFmtId="44" fontId="0" fillId="0" borderId="1" xfId="1" applyFont="1" applyBorder="1" applyAlignment="1" applyProtection="1">
      <alignment horizontal="center"/>
    </xf>
    <xf numFmtId="44" fontId="0" fillId="0" borderId="24" xfId="1" applyFont="1" applyBorder="1" applyAlignment="1" applyProtection="1">
      <alignment horizontal="center"/>
    </xf>
    <xf numFmtId="44" fontId="0" fillId="8" borderId="1" xfId="1" applyFont="1" applyFill="1" applyBorder="1" applyAlignment="1" applyProtection="1">
      <alignment horizontal="center"/>
    </xf>
    <xf numFmtId="44" fontId="0" fillId="8" borderId="24" xfId="1" applyFont="1" applyFill="1" applyBorder="1" applyAlignment="1" applyProtection="1">
      <alignment horizontal="center"/>
    </xf>
    <xf numFmtId="0" fontId="0" fillId="3" borderId="1" xfId="0" applyFill="1" applyBorder="1" applyAlignment="1" applyProtection="1">
      <alignment horizontal="center"/>
      <protection locked="0"/>
    </xf>
    <xf numFmtId="0" fontId="0" fillId="3" borderId="1" xfId="0" applyFill="1" applyBorder="1" applyAlignment="1" applyProtection="1">
      <alignment horizontal="center"/>
    </xf>
    <xf numFmtId="0" fontId="0" fillId="8" borderId="1" xfId="0" applyFill="1" applyBorder="1" applyAlignment="1" applyProtection="1">
      <alignment horizontal="center"/>
    </xf>
    <xf numFmtId="0" fontId="7" fillId="20" borderId="1" xfId="0" applyFont="1" applyFill="1" applyBorder="1" applyAlignment="1" applyProtection="1">
      <alignment horizontal="center" vertical="center" wrapText="1"/>
    </xf>
    <xf numFmtId="0" fontId="0" fillId="0" borderId="0" xfId="0" applyFont="1" applyBorder="1" applyAlignment="1" applyProtection="1">
      <alignment horizontal="left"/>
    </xf>
    <xf numFmtId="164" fontId="0" fillId="21" borderId="8" xfId="4" applyNumberFormat="1" applyFont="1" applyFill="1" applyBorder="1" applyAlignment="1" applyProtection="1">
      <alignment horizontal="right"/>
      <protection locked="0"/>
    </xf>
    <xf numFmtId="0" fontId="0" fillId="0" borderId="8" xfId="0" applyBorder="1" applyAlignment="1" applyProtection="1">
      <alignment horizontal="center"/>
    </xf>
    <xf numFmtId="0" fontId="12" fillId="0" borderId="7" xfId="0" applyFont="1" applyBorder="1" applyAlignment="1" applyProtection="1">
      <alignment horizontal="left"/>
    </xf>
    <xf numFmtId="0" fontId="4" fillId="2" borderId="52"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2" borderId="53" xfId="0" applyFont="1" applyFill="1" applyBorder="1" applyAlignment="1" applyProtection="1">
      <alignment horizontal="center" vertical="center" wrapText="1"/>
    </xf>
    <xf numFmtId="0" fontId="12" fillId="0" borderId="0" xfId="0" applyFont="1" applyBorder="1" applyAlignment="1" applyProtection="1">
      <alignment horizontal="left"/>
    </xf>
    <xf numFmtId="164" fontId="0" fillId="0" borderId="8" xfId="4" applyNumberFormat="1" applyFont="1" applyBorder="1" applyAlignment="1" applyProtection="1">
      <alignment horizontal="center"/>
    </xf>
    <xf numFmtId="44" fontId="0" fillId="0" borderId="8" xfId="0" applyNumberFormat="1" applyBorder="1" applyAlignment="1" applyProtection="1">
      <alignment horizontal="center"/>
    </xf>
    <xf numFmtId="1" fontId="0" fillId="0" borderId="8" xfId="0" applyNumberFormat="1" applyBorder="1" applyAlignment="1" applyProtection="1">
      <alignment horizontal="center"/>
    </xf>
    <xf numFmtId="0" fontId="0" fillId="0" borderId="25" xfId="0" applyBorder="1" applyAlignment="1" applyProtection="1">
      <alignment horizontal="center"/>
    </xf>
    <xf numFmtId="0" fontId="0" fillId="0" borderId="26" xfId="0" applyBorder="1" applyAlignment="1" applyProtection="1">
      <alignment horizontal="center"/>
    </xf>
    <xf numFmtId="0" fontId="0" fillId="0" borderId="0" xfId="0" applyBorder="1" applyAlignment="1" applyProtection="1">
      <alignment horizontal="center"/>
    </xf>
    <xf numFmtId="0" fontId="0" fillId="0" borderId="22" xfId="0" applyBorder="1" applyAlignment="1" applyProtection="1">
      <alignment horizontal="center"/>
    </xf>
    <xf numFmtId="0" fontId="0" fillId="21" borderId="28" xfId="0" applyFill="1" applyBorder="1" applyAlignment="1" applyProtection="1">
      <alignment horizontal="left" vertical="top"/>
      <protection locked="0"/>
    </xf>
    <xf numFmtId="0" fontId="0" fillId="21" borderId="7" xfId="0" applyFill="1" applyBorder="1" applyAlignment="1" applyProtection="1">
      <alignment horizontal="left" vertical="top"/>
      <protection locked="0"/>
    </xf>
    <xf numFmtId="0" fontId="0" fillId="21" borderId="29" xfId="0" applyFill="1" applyBorder="1" applyAlignment="1" applyProtection="1">
      <alignment horizontal="left" vertical="top"/>
      <protection locked="0"/>
    </xf>
    <xf numFmtId="0" fontId="0" fillId="21" borderId="21" xfId="0" applyFill="1" applyBorder="1" applyAlignment="1" applyProtection="1">
      <alignment horizontal="left" vertical="top"/>
      <protection locked="0"/>
    </xf>
    <xf numFmtId="0" fontId="0" fillId="21" borderId="0" xfId="0" applyFill="1" applyBorder="1" applyAlignment="1" applyProtection="1">
      <alignment horizontal="left" vertical="top"/>
      <protection locked="0"/>
    </xf>
    <xf numFmtId="0" fontId="0" fillId="21" borderId="22" xfId="0" applyFill="1" applyBorder="1" applyAlignment="1" applyProtection="1">
      <alignment horizontal="left" vertical="top"/>
      <protection locked="0"/>
    </xf>
    <xf numFmtId="0" fontId="0" fillId="21" borderId="19" xfId="0" applyFill="1" applyBorder="1" applyAlignment="1" applyProtection="1">
      <alignment horizontal="left" vertical="top"/>
      <protection locked="0"/>
    </xf>
    <xf numFmtId="0" fontId="0" fillId="21" borderId="8" xfId="0" applyFill="1" applyBorder="1" applyAlignment="1" applyProtection="1">
      <alignment horizontal="left" vertical="top"/>
      <protection locked="0"/>
    </xf>
    <xf numFmtId="0" fontId="0" fillId="21" borderId="20" xfId="0" applyFill="1" applyBorder="1" applyAlignment="1" applyProtection="1">
      <alignment horizontal="left" vertical="top"/>
      <protection locked="0"/>
    </xf>
    <xf numFmtId="0" fontId="0" fillId="21" borderId="21" xfId="0" applyFill="1" applyBorder="1" applyAlignment="1" applyProtection="1">
      <alignment horizontal="left" vertical="top" wrapText="1"/>
      <protection locked="0"/>
    </xf>
    <xf numFmtId="0" fontId="0" fillId="21" borderId="0" xfId="0" applyFill="1" applyBorder="1" applyAlignment="1" applyProtection="1">
      <alignment horizontal="left" vertical="top" wrapText="1"/>
      <protection locked="0"/>
    </xf>
    <xf numFmtId="0" fontId="0" fillId="21" borderId="22" xfId="0" applyFill="1" applyBorder="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7" fillId="20" borderId="12" xfId="0" applyFont="1" applyFill="1" applyBorder="1" applyAlignment="1">
      <alignment horizontal="center" vertical="center" wrapText="1"/>
    </xf>
    <xf numFmtId="0" fontId="7" fillId="20" borderId="0" xfId="0" applyFont="1" applyFill="1" applyBorder="1" applyAlignment="1">
      <alignment horizontal="center" vertical="center" wrapText="1"/>
    </xf>
    <xf numFmtId="0" fontId="6" fillId="2" borderId="12" xfId="0" applyFont="1" applyFill="1" applyBorder="1" applyAlignment="1">
      <alignment horizontal="left" vertical="center" wrapText="1"/>
    </xf>
    <xf numFmtId="0" fontId="6" fillId="2" borderId="0" xfId="0" applyFont="1" applyFill="1" applyBorder="1" applyAlignment="1">
      <alignment horizontal="left" vertical="center" wrapText="1"/>
    </xf>
    <xf numFmtId="0" fontId="0" fillId="10" borderId="17" xfId="0" applyFill="1" applyBorder="1" applyAlignment="1">
      <alignment vertical="top" wrapText="1"/>
    </xf>
    <xf numFmtId="0" fontId="0" fillId="10" borderId="6" xfId="0" applyFill="1" applyBorder="1" applyAlignment="1">
      <alignment vertical="top"/>
    </xf>
    <xf numFmtId="0" fontId="0" fillId="10" borderId="18" xfId="0" applyFill="1" applyBorder="1" applyAlignment="1">
      <alignment vertical="top"/>
    </xf>
    <xf numFmtId="0" fontId="0" fillId="8" borderId="17" xfId="0" applyFill="1" applyBorder="1" applyAlignment="1">
      <alignment vertical="top" wrapText="1"/>
    </xf>
    <xf numFmtId="0" fontId="0" fillId="8" borderId="6" xfId="0" applyFill="1" applyBorder="1" applyAlignment="1">
      <alignment vertical="top" wrapText="1"/>
    </xf>
    <xf numFmtId="0" fontId="0" fillId="8" borderId="18" xfId="0" applyFill="1" applyBorder="1" applyAlignment="1">
      <alignment vertical="top" wrapText="1"/>
    </xf>
    <xf numFmtId="0" fontId="0" fillId="21" borderId="28" xfId="0" applyFill="1" applyBorder="1" applyAlignment="1" applyProtection="1">
      <alignment vertical="top"/>
      <protection locked="0"/>
    </xf>
    <xf numFmtId="0" fontId="0" fillId="21" borderId="7" xfId="0" applyFill="1" applyBorder="1" applyAlignment="1" applyProtection="1">
      <alignment vertical="top"/>
      <protection locked="0"/>
    </xf>
    <xf numFmtId="0" fontId="0" fillId="21" borderId="29" xfId="0" applyFill="1" applyBorder="1" applyAlignment="1" applyProtection="1">
      <alignment vertical="top"/>
      <protection locked="0"/>
    </xf>
    <xf numFmtId="0" fontId="0" fillId="21" borderId="21" xfId="0" applyFill="1" applyBorder="1" applyAlignment="1" applyProtection="1">
      <alignment vertical="top"/>
      <protection locked="0"/>
    </xf>
    <xf numFmtId="0" fontId="0" fillId="21" borderId="0" xfId="0" applyFill="1" applyBorder="1" applyAlignment="1" applyProtection="1">
      <alignment vertical="top"/>
      <protection locked="0"/>
    </xf>
    <xf numFmtId="0" fontId="0" fillId="21" borderId="22" xfId="0" applyFill="1" applyBorder="1" applyAlignment="1" applyProtection="1">
      <alignment vertical="top"/>
      <protection locked="0"/>
    </xf>
    <xf numFmtId="0" fontId="0" fillId="21" borderId="19" xfId="0" applyFill="1" applyBorder="1" applyAlignment="1" applyProtection="1">
      <alignment vertical="top"/>
      <protection locked="0"/>
    </xf>
    <xf numFmtId="0" fontId="0" fillId="21" borderId="8" xfId="0" applyFill="1" applyBorder="1" applyAlignment="1" applyProtection="1">
      <alignment vertical="top"/>
      <protection locked="0"/>
    </xf>
    <xf numFmtId="0" fontId="0" fillId="21" borderId="20" xfId="0" applyFill="1" applyBorder="1" applyAlignment="1" applyProtection="1">
      <alignment vertical="top"/>
      <protection locked="0"/>
    </xf>
    <xf numFmtId="0" fontId="7" fillId="7" borderId="17"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18" xfId="0" applyFont="1" applyFill="1" applyBorder="1" applyAlignment="1">
      <alignment horizontal="center" vertical="center" wrapText="1"/>
    </xf>
    <xf numFmtId="0" fontId="0" fillId="0" borderId="47" xfId="0" applyBorder="1" applyAlignment="1">
      <alignment vertical="top" wrapText="1"/>
    </xf>
    <xf numFmtId="0" fontId="0" fillId="0" borderId="9" xfId="0" applyBorder="1" applyAlignment="1">
      <alignment vertical="top"/>
    </xf>
    <xf numFmtId="0" fontId="0" fillId="0" borderId="48" xfId="0" applyBorder="1" applyAlignment="1">
      <alignment vertical="top"/>
    </xf>
    <xf numFmtId="0" fontId="0" fillId="0" borderId="21" xfId="0" applyBorder="1" applyAlignment="1">
      <alignment vertical="top"/>
    </xf>
    <xf numFmtId="0" fontId="0" fillId="0" borderId="0" xfId="0" applyBorder="1" applyAlignment="1">
      <alignment vertical="top"/>
    </xf>
    <xf numFmtId="0" fontId="0" fillId="0" borderId="22" xfId="0" applyBorder="1" applyAlignment="1">
      <alignment vertical="top"/>
    </xf>
    <xf numFmtId="0" fontId="4" fillId="7" borderId="44" xfId="0" applyFont="1" applyFill="1" applyBorder="1" applyAlignment="1">
      <alignment horizontal="center"/>
    </xf>
    <xf numFmtId="0" fontId="4" fillId="7" borderId="46" xfId="0" applyFont="1" applyFill="1" applyBorder="1" applyAlignment="1">
      <alignment horizontal="center"/>
    </xf>
    <xf numFmtId="0" fontId="4" fillId="7" borderId="45" xfId="0" applyFont="1" applyFill="1" applyBorder="1" applyAlignment="1">
      <alignment horizontal="center"/>
    </xf>
    <xf numFmtId="0" fontId="12" fillId="8" borderId="3" xfId="0" applyFont="1" applyFill="1" applyBorder="1" applyProtection="1"/>
    <xf numFmtId="0" fontId="12" fillId="8" borderId="2" xfId="0" applyFont="1" applyFill="1" applyBorder="1" applyProtection="1"/>
    <xf numFmtId="0" fontId="12" fillId="8" borderId="4" xfId="0" applyFont="1" applyFill="1" applyBorder="1" applyProtection="1"/>
    <xf numFmtId="0" fontId="0" fillId="21" borderId="30" xfId="0" applyFill="1" applyBorder="1" applyAlignment="1" applyProtection="1">
      <alignment vertical="top"/>
      <protection locked="0"/>
    </xf>
    <xf numFmtId="0" fontId="0" fillId="21" borderId="9" xfId="0" applyFill="1" applyBorder="1" applyAlignment="1" applyProtection="1">
      <alignment vertical="top"/>
      <protection locked="0"/>
    </xf>
    <xf numFmtId="0" fontId="0" fillId="21" borderId="31" xfId="0" applyFill="1" applyBorder="1" applyAlignment="1" applyProtection="1">
      <alignment vertical="top"/>
      <protection locked="0"/>
    </xf>
    <xf numFmtId="0" fontId="0" fillId="21" borderId="12" xfId="0" applyFill="1" applyBorder="1" applyAlignment="1" applyProtection="1">
      <alignment vertical="top"/>
      <protection locked="0"/>
    </xf>
    <xf numFmtId="0" fontId="0" fillId="21" borderId="13" xfId="0" applyFill="1" applyBorder="1" applyAlignment="1" applyProtection="1">
      <alignment vertical="top"/>
      <protection locked="0"/>
    </xf>
    <xf numFmtId="0" fontId="0" fillId="21" borderId="36" xfId="0" applyFill="1" applyBorder="1" applyAlignment="1" applyProtection="1">
      <alignment vertical="top"/>
      <protection locked="0"/>
    </xf>
    <xf numFmtId="0" fontId="0" fillId="21" borderId="10" xfId="0" applyFill="1" applyBorder="1" applyAlignment="1" applyProtection="1">
      <alignment vertical="top"/>
      <protection locked="0"/>
    </xf>
    <xf numFmtId="0" fontId="0" fillId="21" borderId="35" xfId="0" applyFill="1" applyBorder="1" applyAlignment="1" applyProtection="1">
      <alignment vertical="top"/>
      <protection locked="0"/>
    </xf>
    <xf numFmtId="0" fontId="14" fillId="8" borderId="3" xfId="0" applyFont="1" applyFill="1" applyBorder="1" applyProtection="1"/>
    <xf numFmtId="0" fontId="14" fillId="8" borderId="2" xfId="0" applyFont="1" applyFill="1" applyBorder="1" applyProtection="1"/>
    <xf numFmtId="0" fontId="14" fillId="8" borderId="4" xfId="0" applyFont="1" applyFill="1" applyBorder="1" applyProtection="1"/>
    <xf numFmtId="0" fontId="7" fillId="20" borderId="30" xfId="0" applyFont="1" applyFill="1" applyBorder="1" applyAlignment="1" applyProtection="1">
      <alignment horizontal="center" vertical="center" wrapText="1"/>
    </xf>
    <xf numFmtId="0" fontId="7" fillId="20" borderId="9" xfId="0" applyFont="1" applyFill="1" applyBorder="1" applyAlignment="1" applyProtection="1">
      <alignment horizontal="center" vertical="center" wrapText="1"/>
    </xf>
    <xf numFmtId="0" fontId="33" fillId="2" borderId="21" xfId="0" applyFont="1" applyFill="1" applyBorder="1" applyAlignment="1" applyProtection="1">
      <alignment vertical="center" wrapText="1"/>
    </xf>
    <xf numFmtId="0" fontId="33" fillId="2" borderId="0" xfId="0" applyFont="1" applyFill="1" applyBorder="1" applyAlignment="1" applyProtection="1">
      <alignment vertical="center" wrapText="1"/>
    </xf>
    <xf numFmtId="0" fontId="7" fillId="20" borderId="3" xfId="0" applyFont="1" applyFill="1" applyBorder="1" applyAlignment="1" applyProtection="1">
      <alignment horizontal="center" vertical="center" wrapText="1"/>
    </xf>
    <xf numFmtId="0" fontId="7" fillId="20" borderId="2" xfId="0" applyFont="1" applyFill="1" applyBorder="1" applyAlignment="1" applyProtection="1">
      <alignment horizontal="center" vertical="center" wrapText="1"/>
    </xf>
    <xf numFmtId="0" fontId="7" fillId="20" borderId="4" xfId="0" applyFont="1" applyFill="1" applyBorder="1" applyAlignment="1" applyProtection="1">
      <alignment horizontal="center" vertical="center" wrapText="1"/>
    </xf>
    <xf numFmtId="0" fontId="6" fillId="7" borderId="9" xfId="0" applyFont="1" applyFill="1" applyBorder="1" applyAlignment="1" applyProtection="1">
      <alignment horizontal="left" vertical="center" wrapText="1"/>
    </xf>
    <xf numFmtId="0" fontId="6" fillId="7" borderId="0" xfId="0" applyFont="1" applyFill="1" applyBorder="1" applyAlignment="1" applyProtection="1">
      <alignment horizontal="left" vertical="center" wrapText="1"/>
    </xf>
    <xf numFmtId="0" fontId="7" fillId="20" borderId="31" xfId="0" applyFont="1" applyFill="1" applyBorder="1" applyAlignment="1" applyProtection="1">
      <alignment horizontal="center" vertical="center" wrapText="1"/>
    </xf>
    <xf numFmtId="0" fontId="6" fillId="11" borderId="28" xfId="0" applyFont="1" applyFill="1" applyBorder="1" applyAlignment="1" applyProtection="1">
      <alignment horizontal="left" vertical="center" wrapText="1"/>
    </xf>
    <xf numFmtId="0" fontId="6" fillId="11" borderId="7" xfId="0" applyFont="1" applyFill="1" applyBorder="1" applyAlignment="1" applyProtection="1">
      <alignment horizontal="left" vertical="center" wrapText="1"/>
    </xf>
    <xf numFmtId="0" fontId="6" fillId="11" borderId="29" xfId="0" applyFont="1" applyFill="1" applyBorder="1" applyAlignment="1" applyProtection="1">
      <alignment horizontal="left" vertical="center" wrapText="1"/>
    </xf>
    <xf numFmtId="0" fontId="6" fillId="11" borderId="19" xfId="0" applyFont="1" applyFill="1" applyBorder="1" applyAlignment="1" applyProtection="1">
      <alignment horizontal="left" vertical="center" wrapText="1"/>
    </xf>
    <xf numFmtId="0" fontId="6" fillId="11" borderId="8" xfId="0" applyFont="1" applyFill="1" applyBorder="1" applyAlignment="1" applyProtection="1">
      <alignment horizontal="left" vertical="center" wrapText="1"/>
    </xf>
    <xf numFmtId="0" fontId="6" fillId="11" borderId="20" xfId="0" applyFont="1" applyFill="1" applyBorder="1" applyAlignment="1" applyProtection="1">
      <alignment horizontal="left" vertical="center" wrapText="1"/>
    </xf>
    <xf numFmtId="0" fontId="0" fillId="16" borderId="36" xfId="0" applyFont="1" applyFill="1" applyBorder="1" applyProtection="1">
      <protection locked="0"/>
    </xf>
    <xf numFmtId="0" fontId="0" fillId="16" borderId="35" xfId="0" applyFont="1" applyFill="1" applyBorder="1" applyProtection="1">
      <protection locked="0"/>
    </xf>
    <xf numFmtId="0" fontId="0" fillId="17" borderId="3" xfId="0" applyFont="1" applyFill="1" applyBorder="1" applyProtection="1">
      <protection locked="0"/>
    </xf>
    <xf numFmtId="0" fontId="0" fillId="17" borderId="4" xfId="0" applyFont="1" applyFill="1" applyBorder="1" applyProtection="1">
      <protection locked="0"/>
    </xf>
    <xf numFmtId="0" fontId="51" fillId="3" borderId="17" xfId="0" applyFont="1" applyFill="1" applyBorder="1" applyProtection="1"/>
    <xf numFmtId="0" fontId="51" fillId="3" borderId="18" xfId="0" applyFont="1" applyFill="1" applyBorder="1" applyProtection="1"/>
    <xf numFmtId="0" fontId="0" fillId="16" borderId="3" xfId="0" applyFont="1" applyFill="1" applyBorder="1" applyProtection="1">
      <protection locked="0"/>
    </xf>
    <xf numFmtId="0" fontId="0" fillId="16" borderId="4" xfId="0" applyFont="1" applyFill="1" applyBorder="1" applyProtection="1">
      <protection locked="0"/>
    </xf>
    <xf numFmtId="0" fontId="4" fillId="6" borderId="9" xfId="0" applyFont="1" applyFill="1" applyBorder="1" applyAlignment="1" applyProtection="1">
      <alignment horizontal="right"/>
    </xf>
    <xf numFmtId="0" fontId="4" fillId="6" borderId="31" xfId="0" applyFont="1" applyFill="1" applyBorder="1" applyAlignment="1" applyProtection="1">
      <alignment horizontal="right"/>
    </xf>
    <xf numFmtId="0" fontId="4" fillId="13" borderId="0" xfId="0" applyFont="1" applyFill="1" applyBorder="1" applyAlignment="1" applyProtection="1">
      <alignment horizontal="right"/>
    </xf>
    <xf numFmtId="0" fontId="4" fillId="13" borderId="13" xfId="0" applyFont="1" applyFill="1" applyBorder="1" applyAlignment="1" applyProtection="1">
      <alignment horizontal="right"/>
    </xf>
    <xf numFmtId="0" fontId="23" fillId="2" borderId="1" xfId="0" applyFont="1" applyFill="1" applyBorder="1" applyAlignment="1" applyProtection="1">
      <alignment horizontal="center" vertical="center" wrapText="1"/>
    </xf>
    <xf numFmtId="0" fontId="22" fillId="0" borderId="0" xfId="3" applyFill="1" applyAlignment="1">
      <alignment horizontal="center"/>
    </xf>
    <xf numFmtId="0" fontId="19"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0" fillId="0" borderId="1" xfId="0" applyFont="1" applyBorder="1" applyAlignment="1" applyProtection="1">
      <alignment horizontal="center" vertical="center"/>
    </xf>
    <xf numFmtId="0" fontId="0" fillId="0" borderId="1" xfId="0" applyFont="1" applyBorder="1" applyAlignment="1" applyProtection="1">
      <alignment horizontal="center" vertical="center" wrapText="1"/>
    </xf>
    <xf numFmtId="0" fontId="12" fillId="0" borderId="1"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0" fillId="0" borderId="3" xfId="0" applyFont="1" applyBorder="1" applyAlignment="1" applyProtection="1">
      <alignment horizontal="center" vertical="center"/>
    </xf>
    <xf numFmtId="0" fontId="0" fillId="0" borderId="4" xfId="0" applyFont="1" applyBorder="1" applyAlignment="1" applyProtection="1">
      <alignment horizontal="center" vertical="center"/>
    </xf>
    <xf numFmtId="0" fontId="12" fillId="4" borderId="1" xfId="0" applyFont="1" applyFill="1" applyBorder="1" applyAlignment="1" applyProtection="1">
      <alignment horizontal="right" vertical="center"/>
    </xf>
    <xf numFmtId="0" fontId="0" fillId="0" borderId="1" xfId="0" applyFont="1" applyBorder="1" applyAlignment="1" applyProtection="1">
      <alignment horizontal="right" vertical="center"/>
    </xf>
    <xf numFmtId="44" fontId="0" fillId="0" borderId="3" xfId="1" applyNumberFormat="1" applyFont="1" applyBorder="1" applyAlignment="1" applyProtection="1">
      <alignment horizontal="center" vertical="center"/>
    </xf>
    <xf numFmtId="44" fontId="0" fillId="0" borderId="4" xfId="1" applyNumberFormat="1" applyFont="1" applyBorder="1" applyAlignment="1" applyProtection="1">
      <alignment horizontal="center" vertical="center"/>
    </xf>
    <xf numFmtId="44" fontId="0" fillId="0" borderId="25" xfId="1" applyFont="1" applyBorder="1" applyAlignment="1" applyProtection="1">
      <alignment horizontal="center" vertical="center"/>
    </xf>
    <xf numFmtId="44" fontId="0" fillId="0" borderId="26" xfId="1" applyFont="1" applyBorder="1" applyAlignment="1" applyProtection="1">
      <alignment horizontal="center" vertical="center"/>
    </xf>
    <xf numFmtId="2" fontId="14" fillId="21" borderId="3" xfId="0" applyNumberFormat="1" applyFont="1" applyFill="1" applyBorder="1" applyAlignment="1" applyProtection="1">
      <alignment horizontal="center" vertical="center"/>
      <protection locked="0"/>
    </xf>
    <xf numFmtId="2" fontId="14" fillId="21" borderId="4" xfId="0" applyNumberFormat="1" applyFont="1" applyFill="1" applyBorder="1" applyAlignment="1" applyProtection="1">
      <alignment horizontal="center" vertical="center"/>
      <protection locked="0"/>
    </xf>
    <xf numFmtId="44" fontId="12" fillId="0" borderId="36" xfId="1" applyFont="1" applyBorder="1" applyAlignment="1" applyProtection="1">
      <alignment horizontal="right" vertical="center"/>
    </xf>
    <xf numFmtId="44" fontId="12" fillId="0" borderId="10" xfId="1" applyFont="1" applyBorder="1" applyAlignment="1" applyProtection="1">
      <alignment horizontal="right" vertical="center"/>
    </xf>
    <xf numFmtId="44" fontId="12" fillId="0" borderId="35" xfId="1" applyFont="1" applyBorder="1" applyAlignment="1" applyProtection="1">
      <alignment horizontal="right" vertical="center"/>
    </xf>
    <xf numFmtId="0" fontId="15" fillId="0" borderId="0" xfId="0" applyFont="1" applyBorder="1" applyAlignment="1" applyProtection="1">
      <alignment horizontal="center" vertical="center"/>
    </xf>
    <xf numFmtId="0" fontId="12" fillId="0" borderId="3" xfId="0" applyFont="1" applyBorder="1" applyAlignment="1" applyProtection="1">
      <alignment vertical="center"/>
    </xf>
    <xf numFmtId="0" fontId="12" fillId="0" borderId="2" xfId="0" applyFont="1" applyBorder="1" applyAlignment="1" applyProtection="1">
      <alignment vertical="center"/>
    </xf>
    <xf numFmtId="0" fontId="12" fillId="0" borderId="4" xfId="0" applyFont="1" applyBorder="1" applyAlignment="1" applyProtection="1">
      <alignment vertical="center"/>
    </xf>
    <xf numFmtId="0" fontId="12" fillId="0" borderId="3" xfId="0" applyFont="1" applyBorder="1" applyAlignment="1" applyProtection="1">
      <alignment horizontal="left" vertical="center"/>
    </xf>
    <xf numFmtId="0" fontId="12" fillId="0" borderId="2" xfId="0" applyFont="1" applyBorder="1" applyAlignment="1" applyProtection="1">
      <alignment horizontal="left" vertical="center"/>
    </xf>
    <xf numFmtId="0" fontId="12" fillId="0" borderId="4" xfId="0" applyFont="1" applyBorder="1" applyAlignment="1" applyProtection="1">
      <alignment horizontal="left" vertical="center"/>
    </xf>
    <xf numFmtId="0" fontId="4" fillId="2" borderId="2" xfId="0" applyFont="1" applyFill="1" applyBorder="1" applyAlignment="1" applyProtection="1">
      <alignment horizontal="center" vertical="center"/>
    </xf>
    <xf numFmtId="0" fontId="12" fillId="0" borderId="2" xfId="0" applyFont="1" applyBorder="1" applyAlignment="1" applyProtection="1">
      <alignment horizontal="right" vertical="center"/>
    </xf>
    <xf numFmtId="0" fontId="12" fillId="0" borderId="0" xfId="0" applyFont="1" applyFill="1" applyBorder="1" applyAlignment="1" applyProtection="1">
      <alignment horizontal="right" vertical="center"/>
    </xf>
    <xf numFmtId="0" fontId="67" fillId="20" borderId="17" xfId="0" applyFont="1" applyFill="1" applyBorder="1" applyAlignment="1">
      <alignment horizontal="center" vertical="center"/>
    </xf>
    <xf numFmtId="0" fontId="67" fillId="20" borderId="6" xfId="0" applyFont="1" applyFill="1" applyBorder="1" applyAlignment="1">
      <alignment horizontal="center" vertical="center"/>
    </xf>
    <xf numFmtId="0" fontId="67" fillId="20" borderId="18" xfId="0" applyFont="1" applyFill="1" applyBorder="1" applyAlignment="1">
      <alignment horizontal="center" vertical="center"/>
    </xf>
    <xf numFmtId="0" fontId="0" fillId="5" borderId="21" xfId="0" applyFill="1" applyBorder="1" applyAlignment="1" applyProtection="1">
      <alignment horizontal="center"/>
      <protection locked="0"/>
    </xf>
    <xf numFmtId="0" fontId="0" fillId="5" borderId="0" xfId="0" applyFill="1" applyBorder="1" applyAlignment="1" applyProtection="1">
      <alignment horizontal="center"/>
      <protection locked="0"/>
    </xf>
    <xf numFmtId="0" fontId="4" fillId="2" borderId="0" xfId="0" applyFont="1" applyFill="1" applyBorder="1" applyAlignment="1">
      <alignment horizontal="center"/>
    </xf>
    <xf numFmtId="0" fontId="4" fillId="2" borderId="22" xfId="0" applyFont="1" applyFill="1" applyBorder="1" applyAlignment="1">
      <alignment horizontal="center"/>
    </xf>
    <xf numFmtId="171" fontId="0" fillId="5" borderId="8" xfId="0" applyNumberFormat="1" applyFill="1" applyBorder="1" applyProtection="1">
      <protection locked="0"/>
    </xf>
    <xf numFmtId="0" fontId="10" fillId="2" borderId="28"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20" xfId="0" applyFont="1" applyFill="1" applyBorder="1" applyAlignment="1">
      <alignment horizontal="center" vertical="center"/>
    </xf>
    <xf numFmtId="0" fontId="0" fillId="5" borderId="0" xfId="0" applyFill="1" applyBorder="1" applyAlignment="1" applyProtection="1">
      <alignment vertical="top"/>
      <protection locked="0"/>
    </xf>
    <xf numFmtId="0" fontId="0" fillId="5" borderId="28" xfId="0" applyFill="1" applyBorder="1" applyAlignment="1" applyProtection="1">
      <alignment vertical="top"/>
      <protection locked="0"/>
    </xf>
    <xf numFmtId="0" fontId="0" fillId="5" borderId="7" xfId="0" applyFill="1" applyBorder="1" applyAlignment="1" applyProtection="1">
      <alignment vertical="top"/>
      <protection locked="0"/>
    </xf>
    <xf numFmtId="0" fontId="0" fillId="5" borderId="29" xfId="0" applyFill="1" applyBorder="1" applyAlignment="1" applyProtection="1">
      <alignment vertical="top"/>
      <protection locked="0"/>
    </xf>
    <xf numFmtId="0" fontId="0" fillId="5" borderId="21" xfId="0" applyFill="1" applyBorder="1" applyAlignment="1" applyProtection="1">
      <alignment vertical="top"/>
      <protection locked="0"/>
    </xf>
    <xf numFmtId="0" fontId="0" fillId="5" borderId="22" xfId="0" applyFill="1" applyBorder="1" applyAlignment="1" applyProtection="1">
      <alignment vertical="top"/>
      <protection locked="0"/>
    </xf>
    <xf numFmtId="0" fontId="0" fillId="5" borderId="19" xfId="0" applyFill="1" applyBorder="1" applyAlignment="1" applyProtection="1">
      <alignment vertical="top"/>
      <protection locked="0"/>
    </xf>
    <xf numFmtId="0" fontId="0" fillId="5" borderId="8" xfId="0" applyFill="1" applyBorder="1" applyAlignment="1" applyProtection="1">
      <alignment vertical="top"/>
      <protection locked="0"/>
    </xf>
    <xf numFmtId="0" fontId="0" fillId="5" borderId="20" xfId="0" applyFill="1" applyBorder="1" applyAlignment="1" applyProtection="1">
      <alignment vertical="top"/>
      <protection locked="0"/>
    </xf>
    <xf numFmtId="0" fontId="0" fillId="5" borderId="1" xfId="0" applyFill="1" applyBorder="1" applyAlignment="1" applyProtection="1">
      <alignment horizontal="center"/>
      <protection locked="0"/>
    </xf>
    <xf numFmtId="0" fontId="4" fillId="2" borderId="21" xfId="0" applyFont="1" applyFill="1" applyBorder="1" applyAlignment="1">
      <alignment horizontal="center"/>
    </xf>
    <xf numFmtId="173" fontId="0" fillId="5" borderId="21" xfId="0" applyNumberFormat="1" applyFill="1" applyBorder="1" applyAlignment="1">
      <alignment horizontal="center"/>
    </xf>
    <xf numFmtId="173" fontId="0" fillId="5" borderId="0" xfId="0" applyNumberFormat="1" applyFill="1" applyBorder="1" applyAlignment="1">
      <alignment horizontal="center"/>
    </xf>
    <xf numFmtId="174" fontId="0" fillId="5" borderId="0" xfId="0" applyNumberFormat="1" applyFill="1" applyBorder="1" applyAlignment="1">
      <alignment horizontal="center"/>
    </xf>
    <xf numFmtId="169" fontId="0" fillId="5" borderId="0" xfId="0" applyNumberFormat="1" applyFill="1" applyBorder="1" applyAlignment="1" applyProtection="1">
      <alignment horizontal="center"/>
      <protection locked="0"/>
    </xf>
    <xf numFmtId="171" fontId="0" fillId="5" borderId="0" xfId="0" applyNumberFormat="1" applyFill="1" applyBorder="1" applyAlignment="1" applyProtection="1">
      <alignment horizontal="center"/>
      <protection locked="0"/>
    </xf>
    <xf numFmtId="0" fontId="0" fillId="5" borderId="21" xfId="0" applyFill="1" applyBorder="1" applyAlignment="1" applyProtection="1">
      <alignment vertical="top" wrapText="1"/>
      <protection locked="0"/>
    </xf>
    <xf numFmtId="0" fontId="0" fillId="5" borderId="0" xfId="0" applyFill="1" applyBorder="1" applyAlignment="1" applyProtection="1">
      <alignment vertical="top" wrapText="1"/>
      <protection locked="0"/>
    </xf>
    <xf numFmtId="0" fontId="4" fillId="2" borderId="23" xfId="0" applyFont="1" applyFill="1" applyBorder="1" applyAlignment="1">
      <alignment horizontal="center"/>
    </xf>
    <xf numFmtId="0" fontId="4" fillId="2" borderId="56" xfId="0" applyFont="1" applyFill="1" applyBorder="1" applyAlignment="1">
      <alignment horizontal="center"/>
    </xf>
    <xf numFmtId="0" fontId="4" fillId="2" borderId="56" xfId="0" applyFont="1" applyFill="1" applyBorder="1" applyAlignment="1">
      <alignment horizontal="center" wrapText="1"/>
    </xf>
    <xf numFmtId="0" fontId="4" fillId="2" borderId="57" xfId="0" applyFont="1" applyFill="1" applyBorder="1" applyAlignment="1">
      <alignment horizontal="center" wrapText="1"/>
    </xf>
    <xf numFmtId="44" fontId="0" fillId="5" borderId="58" xfId="0" applyNumberFormat="1" applyFill="1" applyBorder="1" applyAlignment="1">
      <alignment horizontal="center"/>
    </xf>
    <xf numFmtId="0" fontId="0" fillId="5" borderId="50" xfId="0" applyFill="1" applyBorder="1" applyAlignment="1">
      <alignment horizontal="center"/>
    </xf>
    <xf numFmtId="44" fontId="0" fillId="5" borderId="50" xfId="0" applyNumberFormat="1" applyFill="1" applyBorder="1" applyAlignment="1">
      <alignment horizontal="center"/>
    </xf>
    <xf numFmtId="10" fontId="0" fillId="5" borderId="50" xfId="2" applyNumberFormat="1" applyFont="1" applyFill="1" applyBorder="1" applyAlignment="1">
      <alignment horizontal="center"/>
    </xf>
    <xf numFmtId="10" fontId="0" fillId="5" borderId="59" xfId="2" applyNumberFormat="1" applyFont="1" applyFill="1" applyBorder="1" applyAlignment="1">
      <alignment horizontal="center"/>
    </xf>
    <xf numFmtId="0" fontId="4" fillId="2" borderId="57" xfId="0" applyFont="1" applyFill="1" applyBorder="1" applyAlignment="1">
      <alignment horizontal="center"/>
    </xf>
    <xf numFmtId="169" fontId="0" fillId="5" borderId="58" xfId="0" applyNumberFormat="1" applyFill="1" applyBorder="1" applyAlignment="1" applyProtection="1">
      <alignment horizontal="center"/>
    </xf>
    <xf numFmtId="169" fontId="0" fillId="5" borderId="50" xfId="0" applyNumberFormat="1" applyFill="1" applyBorder="1" applyAlignment="1" applyProtection="1">
      <alignment horizontal="center"/>
    </xf>
    <xf numFmtId="169" fontId="0" fillId="5" borderId="50" xfId="0" applyNumberFormat="1" applyFill="1" applyBorder="1" applyAlignment="1">
      <alignment horizontal="center"/>
    </xf>
    <xf numFmtId="172" fontId="0" fillId="5" borderId="50" xfId="0" applyNumberFormat="1" applyFill="1" applyBorder="1" applyAlignment="1">
      <alignment horizontal="center"/>
    </xf>
    <xf numFmtId="172" fontId="0" fillId="5" borderId="59" xfId="0" applyNumberFormat="1" applyFill="1" applyBorder="1" applyAlignment="1">
      <alignment horizontal="center"/>
    </xf>
    <xf numFmtId="0" fontId="69" fillId="21" borderId="12" xfId="0" applyFont="1" applyFill="1" applyBorder="1" applyAlignment="1" applyProtection="1">
      <alignment vertical="top" wrapText="1"/>
    </xf>
    <xf numFmtId="0" fontId="69" fillId="21" borderId="0" xfId="0" applyFont="1" applyFill="1" applyBorder="1" applyAlignment="1" applyProtection="1">
      <alignment vertical="top" wrapText="1"/>
    </xf>
    <xf numFmtId="0" fontId="69" fillId="21" borderId="13" xfId="0" applyFont="1" applyFill="1" applyBorder="1" applyAlignment="1" applyProtection="1">
      <alignment vertical="top" wrapText="1"/>
    </xf>
    <xf numFmtId="0" fontId="69" fillId="21" borderId="36" xfId="0" applyFont="1" applyFill="1" applyBorder="1" applyAlignment="1" applyProtection="1">
      <alignment vertical="top" wrapText="1"/>
    </xf>
    <xf numFmtId="0" fontId="69" fillId="21" borderId="10" xfId="0" applyFont="1" applyFill="1" applyBorder="1" applyAlignment="1" applyProtection="1">
      <alignment vertical="top" wrapText="1"/>
    </xf>
    <xf numFmtId="0" fontId="69" fillId="21" borderId="35" xfId="0" applyFont="1" applyFill="1" applyBorder="1" applyAlignment="1" applyProtection="1">
      <alignment vertical="top" wrapText="1"/>
    </xf>
    <xf numFmtId="0" fontId="35" fillId="3" borderId="0" xfId="0" applyFont="1" applyFill="1" applyAlignment="1" applyProtection="1">
      <alignment horizontal="left"/>
    </xf>
    <xf numFmtId="0" fontId="35" fillId="3" borderId="13" xfId="0" applyFont="1" applyFill="1" applyBorder="1" applyAlignment="1" applyProtection="1">
      <alignment horizontal="left"/>
    </xf>
    <xf numFmtId="0" fontId="35" fillId="3" borderId="0" xfId="0" applyFont="1" applyFill="1" applyAlignment="1" applyProtection="1">
      <alignment horizontal="left" wrapText="1"/>
    </xf>
    <xf numFmtId="0" fontId="35" fillId="3" borderId="13" xfId="0" applyFont="1" applyFill="1" applyBorder="1" applyAlignment="1" applyProtection="1">
      <alignment horizontal="left" wrapText="1"/>
    </xf>
    <xf numFmtId="0" fontId="35" fillId="0" borderId="3" xfId="0" applyFont="1" applyBorder="1" applyAlignment="1" applyProtection="1">
      <alignment horizontal="center" vertical="center"/>
    </xf>
    <xf numFmtId="0" fontId="35" fillId="0" borderId="2" xfId="0" applyFont="1" applyBorder="1" applyAlignment="1" applyProtection="1">
      <alignment horizontal="center" vertical="center"/>
    </xf>
    <xf numFmtId="0" fontId="35" fillId="0" borderId="4" xfId="0" applyFont="1" applyBorder="1" applyAlignment="1" applyProtection="1">
      <alignment horizontal="center" vertical="center"/>
    </xf>
    <xf numFmtId="0" fontId="35" fillId="0" borderId="5" xfId="0" applyFont="1" applyBorder="1" applyAlignment="1" applyProtection="1">
      <alignment horizontal="center"/>
    </xf>
    <xf numFmtId="0" fontId="35" fillId="0" borderId="34" xfId="0" applyFont="1" applyBorder="1" applyAlignment="1" applyProtection="1">
      <alignment horizontal="center"/>
    </xf>
    <xf numFmtId="0" fontId="35" fillId="0" borderId="1" xfId="0" applyFont="1" applyBorder="1" applyAlignment="1" applyProtection="1">
      <alignment horizontal="center"/>
    </xf>
    <xf numFmtId="0" fontId="35" fillId="21" borderId="31" xfId="0" applyFont="1" applyFill="1" applyBorder="1" applyAlignment="1" applyProtection="1">
      <alignment horizontal="center" wrapText="1"/>
    </xf>
    <xf numFmtId="0" fontId="35" fillId="21" borderId="34" xfId="0" applyFont="1" applyFill="1" applyBorder="1" applyAlignment="1" applyProtection="1">
      <alignment horizontal="center" wrapText="1"/>
    </xf>
    <xf numFmtId="0" fontId="12" fillId="20" borderId="30" xfId="0" applyFont="1" applyFill="1" applyBorder="1" applyAlignment="1" applyProtection="1">
      <alignment horizontal="center" vertical="center" wrapText="1"/>
    </xf>
    <xf numFmtId="0" fontId="12" fillId="20" borderId="9" xfId="0" applyFont="1" applyFill="1" applyBorder="1" applyAlignment="1" applyProtection="1">
      <alignment horizontal="center" vertical="center" wrapText="1"/>
    </xf>
    <xf numFmtId="0" fontId="12" fillId="20" borderId="31" xfId="0" applyFont="1" applyFill="1" applyBorder="1" applyAlignment="1" applyProtection="1">
      <alignment horizontal="center" vertical="center" wrapText="1"/>
    </xf>
    <xf numFmtId="0" fontId="12" fillId="20" borderId="12" xfId="0" applyFont="1" applyFill="1" applyBorder="1" applyAlignment="1" applyProtection="1">
      <alignment horizontal="center" vertical="center" wrapText="1"/>
    </xf>
    <xf numFmtId="0" fontId="12" fillId="20" borderId="0" xfId="0" applyFont="1" applyFill="1" applyAlignment="1" applyProtection="1">
      <alignment horizontal="center" vertical="center" wrapText="1"/>
    </xf>
    <xf numFmtId="0" fontId="12" fillId="20" borderId="13" xfId="0" applyFont="1" applyFill="1" applyBorder="1" applyAlignment="1" applyProtection="1">
      <alignment horizontal="center" vertical="center" wrapText="1"/>
    </xf>
    <xf numFmtId="0" fontId="15" fillId="3" borderId="10" xfId="0" applyFont="1" applyFill="1" applyBorder="1" applyAlignment="1" applyProtection="1">
      <alignment horizontal="left"/>
    </xf>
    <xf numFmtId="0" fontId="35" fillId="3" borderId="9" xfId="0" applyFont="1" applyFill="1" applyBorder="1" applyAlignment="1" applyProtection="1">
      <alignment horizontal="left"/>
    </xf>
    <xf numFmtId="0" fontId="35" fillId="3" borderId="31" xfId="0" applyFont="1" applyFill="1" applyBorder="1" applyAlignment="1" applyProtection="1">
      <alignment horizontal="left"/>
    </xf>
    <xf numFmtId="0" fontId="17" fillId="1" borderId="36" xfId="0" applyFont="1" applyFill="1" applyBorder="1" applyAlignment="1" applyProtection="1">
      <alignment horizontal="center" vertical="center" wrapText="1"/>
    </xf>
    <xf numFmtId="0" fontId="17" fillId="1" borderId="35" xfId="0" applyFont="1" applyFill="1" applyBorder="1" applyAlignment="1" applyProtection="1">
      <alignment horizontal="center" vertical="center" wrapText="1"/>
    </xf>
    <xf numFmtId="0" fontId="17" fillId="12" borderId="0" xfId="0" applyFont="1" applyFill="1" applyAlignment="1" applyProtection="1">
      <alignment horizontal="left" vertical="center" wrapText="1"/>
    </xf>
    <xf numFmtId="0" fontId="35" fillId="3" borderId="30" xfId="0" applyFont="1" applyFill="1" applyBorder="1" applyAlignment="1" applyProtection="1">
      <alignment horizontal="right" vertical="center"/>
    </xf>
    <xf numFmtId="0" fontId="35" fillId="3" borderId="36" xfId="0" applyFont="1" applyFill="1" applyBorder="1" applyAlignment="1" applyProtection="1">
      <alignment horizontal="right" vertical="center"/>
    </xf>
    <xf numFmtId="0" fontId="41" fillId="12" borderId="2" xfId="0" applyFont="1" applyFill="1" applyBorder="1" applyAlignment="1" applyProtection="1">
      <alignment horizontal="center" vertical="center" wrapText="1"/>
    </xf>
    <xf numFmtId="0" fontId="35" fillId="8" borderId="2" xfId="0" applyFont="1" applyFill="1" applyBorder="1" applyProtection="1">
      <protection locked="0"/>
    </xf>
    <xf numFmtId="0" fontId="35" fillId="8" borderId="4" xfId="0" applyFont="1" applyFill="1" applyBorder="1" applyProtection="1">
      <protection locked="0"/>
    </xf>
    <xf numFmtId="0" fontId="0" fillId="8" borderId="10" xfId="0" applyFill="1" applyBorder="1" applyAlignment="1" applyProtection="1">
      <alignment horizontal="left"/>
      <protection locked="0"/>
    </xf>
    <xf numFmtId="0" fontId="0" fillId="8" borderId="35" xfId="0" applyFill="1" applyBorder="1" applyAlignment="1" applyProtection="1">
      <alignment horizontal="left"/>
      <protection locked="0"/>
    </xf>
    <xf numFmtId="0" fontId="35" fillId="3" borderId="2" xfId="0" applyFont="1" applyFill="1" applyBorder="1" applyProtection="1">
      <protection locked="0"/>
    </xf>
    <xf numFmtId="0" fontId="35" fillId="3" borderId="4" xfId="0" applyFont="1" applyFill="1" applyBorder="1" applyProtection="1">
      <protection locked="0"/>
    </xf>
    <xf numFmtId="0" fontId="0" fillId="3" borderId="10" xfId="0" applyFill="1" applyBorder="1" applyAlignment="1" applyProtection="1">
      <alignment horizontal="left"/>
      <protection locked="0"/>
    </xf>
    <xf numFmtId="0" fontId="0" fillId="3" borderId="35" xfId="0" applyFill="1" applyBorder="1" applyAlignment="1" applyProtection="1">
      <alignment horizontal="left"/>
      <protection locked="0"/>
    </xf>
    <xf numFmtId="0" fontId="17" fillId="0" borderId="2" xfId="0" applyFont="1" applyBorder="1" applyAlignment="1" applyProtection="1">
      <alignment horizontal="right"/>
    </xf>
    <xf numFmtId="0" fontId="0" fillId="0" borderId="9" xfId="0" applyBorder="1" applyProtection="1"/>
    <xf numFmtId="0" fontId="35" fillId="0" borderId="13" xfId="0" applyFont="1" applyBorder="1" applyProtection="1"/>
    <xf numFmtId="9" fontId="0" fillId="0" borderId="8" xfId="2" applyFont="1" applyBorder="1" applyAlignment="1" applyProtection="1">
      <alignment horizontal="center" vertical="center"/>
    </xf>
    <xf numFmtId="165" fontId="0" fillId="21" borderId="17" xfId="0" applyNumberFormat="1" applyFont="1" applyFill="1" applyBorder="1" applyAlignment="1" applyProtection="1">
      <alignment horizontal="left"/>
      <protection locked="0" hidden="1"/>
    </xf>
    <xf numFmtId="165" fontId="0" fillId="21" borderId="18" xfId="0" applyNumberFormat="1" applyFont="1" applyFill="1" applyBorder="1" applyAlignment="1" applyProtection="1">
      <alignment horizontal="left"/>
      <protection locked="0" hidden="1"/>
    </xf>
    <xf numFmtId="0" fontId="12" fillId="21" borderId="8" xfId="0" applyFont="1" applyFill="1" applyBorder="1" applyAlignment="1" applyProtection="1">
      <alignment horizontal="center" vertical="center"/>
      <protection locked="0" hidden="1"/>
    </xf>
    <xf numFmtId="0" fontId="22" fillId="21" borderId="8" xfId="3" applyFill="1" applyBorder="1" applyAlignment="1" applyProtection="1">
      <alignment horizontal="center" vertical="center"/>
      <protection locked="0" hidden="1"/>
    </xf>
    <xf numFmtId="0" fontId="0" fillId="21" borderId="8" xfId="0" applyFill="1" applyBorder="1" applyAlignment="1" applyProtection="1">
      <alignment horizontal="center" vertical="center"/>
      <protection locked="0" hidden="1"/>
    </xf>
    <xf numFmtId="0" fontId="12" fillId="21" borderId="49" xfId="0" applyFont="1" applyFill="1" applyBorder="1" applyAlignment="1" applyProtection="1">
      <alignment horizontal="center" vertical="center"/>
      <protection locked="0" hidden="1"/>
    </xf>
    <xf numFmtId="0" fontId="0" fillId="0" borderId="30" xfId="0" applyFill="1" applyBorder="1" applyAlignment="1">
      <alignment vertical="top"/>
    </xf>
    <xf numFmtId="0" fontId="0" fillId="0" borderId="9" xfId="0" applyFill="1" applyBorder="1" applyAlignment="1">
      <alignment vertical="top"/>
    </xf>
    <xf numFmtId="0" fontId="0" fillId="0" borderId="31" xfId="0" applyFill="1" applyBorder="1" applyAlignment="1">
      <alignment vertical="top"/>
    </xf>
    <xf numFmtId="0" fontId="0" fillId="0" borderId="12" xfId="0" applyFill="1" applyBorder="1" applyAlignment="1">
      <alignment vertical="top"/>
    </xf>
    <xf numFmtId="0" fontId="0" fillId="0" borderId="0" xfId="0" applyFill="1" applyBorder="1" applyAlignment="1">
      <alignment vertical="top"/>
    </xf>
    <xf numFmtId="0" fontId="0" fillId="0" borderId="13" xfId="0" applyFill="1" applyBorder="1" applyAlignment="1">
      <alignment vertical="top"/>
    </xf>
    <xf numFmtId="0" fontId="0" fillId="0" borderId="36" xfId="0" applyFill="1" applyBorder="1" applyAlignment="1">
      <alignment vertical="top"/>
    </xf>
    <xf numFmtId="0" fontId="0" fillId="0" borderId="10" xfId="0" applyFill="1" applyBorder="1" applyAlignment="1">
      <alignment vertical="top"/>
    </xf>
    <xf numFmtId="0" fontId="0" fillId="0" borderId="35" xfId="0" applyFill="1" applyBorder="1" applyAlignment="1">
      <alignment vertical="top"/>
    </xf>
    <xf numFmtId="0" fontId="7" fillId="22" borderId="1" xfId="0" applyFont="1" applyFill="1" applyBorder="1" applyAlignment="1" applyProtection="1">
      <alignment horizontal="center" vertical="center" wrapText="1"/>
    </xf>
    <xf numFmtId="0" fontId="0" fillId="5" borderId="0" xfId="0" applyFont="1" applyFill="1" applyBorder="1" applyAlignment="1" applyProtection="1">
      <alignment horizontal="center" vertical="center"/>
    </xf>
    <xf numFmtId="0" fontId="0" fillId="5" borderId="13" xfId="0" applyFont="1" applyFill="1" applyBorder="1" applyAlignment="1" applyProtection="1">
      <alignment horizontal="center" vertical="center"/>
    </xf>
    <xf numFmtId="0" fontId="12" fillId="11" borderId="0" xfId="0" applyFont="1" applyFill="1" applyBorder="1" applyAlignment="1" applyProtection="1">
      <alignment horizontal="center" vertical="center"/>
    </xf>
    <xf numFmtId="0" fontId="12" fillId="11" borderId="13" xfId="0" applyFont="1" applyFill="1" applyBorder="1" applyAlignment="1" applyProtection="1">
      <alignment horizontal="center" vertical="center"/>
    </xf>
    <xf numFmtId="44" fontId="0" fillId="3" borderId="1" xfId="1" applyFont="1" applyFill="1" applyBorder="1" applyAlignment="1" applyProtection="1">
      <alignment horizontal="center"/>
    </xf>
    <xf numFmtId="0" fontId="0" fillId="3" borderId="0" xfId="0" applyFill="1" applyBorder="1" applyAlignment="1" applyProtection="1">
      <alignment horizontal="center"/>
    </xf>
    <xf numFmtId="169" fontId="0" fillId="8" borderId="1" xfId="0" applyNumberFormat="1" applyFill="1" applyBorder="1" applyAlignment="1" applyProtection="1">
      <alignment horizontal="center"/>
    </xf>
    <xf numFmtId="170" fontId="0" fillId="8" borderId="1" xfId="0" applyNumberFormat="1" applyFill="1" applyBorder="1" applyAlignment="1" applyProtection="1">
      <alignment horizontal="center"/>
    </xf>
    <xf numFmtId="44" fontId="0" fillId="8" borderId="3" xfId="1" applyFont="1" applyFill="1" applyBorder="1" applyAlignment="1" applyProtection="1">
      <alignment horizontal="center"/>
    </xf>
    <xf numFmtId="44" fontId="0" fillId="8" borderId="2" xfId="1" applyFont="1" applyFill="1" applyBorder="1" applyAlignment="1" applyProtection="1">
      <alignment horizontal="center"/>
    </xf>
    <xf numFmtId="44" fontId="0" fillId="8" borderId="51" xfId="1" applyFont="1" applyFill="1" applyBorder="1" applyAlignment="1" applyProtection="1">
      <alignment horizontal="center"/>
    </xf>
    <xf numFmtId="169" fontId="0" fillId="3" borderId="3" xfId="0" applyNumberFormat="1" applyFill="1" applyBorder="1" applyAlignment="1" applyProtection="1">
      <alignment horizontal="center"/>
    </xf>
    <xf numFmtId="169" fontId="0" fillId="3" borderId="2" xfId="0" applyNumberFormat="1" applyFill="1" applyBorder="1" applyAlignment="1" applyProtection="1">
      <alignment horizontal="center"/>
    </xf>
    <xf numFmtId="169" fontId="0" fillId="3" borderId="4" xfId="0" applyNumberFormat="1" applyFill="1" applyBorder="1" applyAlignment="1" applyProtection="1">
      <alignment horizontal="center"/>
    </xf>
    <xf numFmtId="170" fontId="0" fillId="3" borderId="1" xfId="0" applyNumberFormat="1" applyFill="1" applyBorder="1" applyAlignment="1" applyProtection="1">
      <alignment horizontal="center"/>
    </xf>
    <xf numFmtId="44" fontId="0" fillId="0" borderId="3" xfId="1" applyFont="1" applyBorder="1" applyAlignment="1" applyProtection="1">
      <alignment horizontal="center"/>
    </xf>
    <xf numFmtId="44" fontId="0" fillId="0" borderId="2" xfId="1" applyFont="1" applyBorder="1" applyAlignment="1" applyProtection="1">
      <alignment horizontal="center"/>
    </xf>
    <xf numFmtId="44" fontId="0" fillId="0" borderId="51" xfId="1" applyFont="1" applyBorder="1" applyAlignment="1" applyProtection="1">
      <alignment horizontal="center"/>
    </xf>
    <xf numFmtId="0" fontId="4" fillId="2" borderId="23" xfId="0" applyFont="1" applyFill="1" applyBorder="1" applyAlignment="1" applyProtection="1">
      <alignment horizontal="center" vertical="center" wrapText="1"/>
    </xf>
    <xf numFmtId="164" fontId="0" fillId="3" borderId="8" xfId="4" applyNumberFormat="1" applyFont="1" applyFill="1" applyBorder="1" applyAlignment="1" applyProtection="1">
      <alignment horizontal="right"/>
    </xf>
    <xf numFmtId="0" fontId="7" fillId="22" borderId="3" xfId="0" applyFont="1" applyFill="1" applyBorder="1" applyAlignment="1" applyProtection="1">
      <alignment horizontal="center" vertical="center" wrapText="1"/>
    </xf>
    <xf numFmtId="0" fontId="7" fillId="22" borderId="2" xfId="0" applyFont="1" applyFill="1" applyBorder="1" applyAlignment="1" applyProtection="1">
      <alignment horizontal="center" vertical="center" wrapText="1"/>
    </xf>
    <xf numFmtId="0" fontId="7" fillId="22" borderId="4" xfId="0" applyFont="1" applyFill="1" applyBorder="1" applyAlignment="1" applyProtection="1">
      <alignment horizontal="center" vertical="center" wrapText="1"/>
    </xf>
    <xf numFmtId="0" fontId="7" fillId="22" borderId="30" xfId="0" applyFont="1" applyFill="1" applyBorder="1" applyAlignment="1" applyProtection="1">
      <alignment horizontal="center" vertical="center" wrapText="1"/>
    </xf>
    <xf numFmtId="0" fontId="7" fillId="22" borderId="9" xfId="0" applyFont="1" applyFill="1" applyBorder="1" applyAlignment="1" applyProtection="1">
      <alignment horizontal="center" vertical="center" wrapText="1"/>
    </xf>
    <xf numFmtId="0" fontId="7" fillId="22" borderId="31" xfId="0" applyFont="1" applyFill="1" applyBorder="1" applyAlignment="1" applyProtection="1">
      <alignment horizontal="center" vertical="center" wrapText="1"/>
    </xf>
    <xf numFmtId="44" fontId="59" fillId="8" borderId="3" xfId="1" applyNumberFormat="1" applyFont="1" applyFill="1" applyBorder="1" applyAlignment="1" applyProtection="1">
      <alignment horizontal="center" vertical="center"/>
    </xf>
    <xf numFmtId="44" fontId="59" fillId="8" borderId="4" xfId="1" applyNumberFormat="1" applyFont="1" applyFill="1" applyBorder="1" applyAlignment="1" applyProtection="1">
      <alignment horizontal="center" vertical="center"/>
    </xf>
    <xf numFmtId="169" fontId="0" fillId="5" borderId="58" xfId="0" applyNumberFormat="1" applyFill="1" applyBorder="1" applyAlignment="1">
      <alignment horizontal="center"/>
    </xf>
    <xf numFmtId="0" fontId="67" fillId="22" borderId="17" xfId="0" applyFont="1" applyFill="1" applyBorder="1" applyAlignment="1">
      <alignment horizontal="center" vertical="center"/>
    </xf>
    <xf numFmtId="0" fontId="67" fillId="22" borderId="6" xfId="0" applyFont="1" applyFill="1" applyBorder="1" applyAlignment="1">
      <alignment horizontal="center" vertical="center"/>
    </xf>
    <xf numFmtId="0" fontId="67" fillId="22" borderId="18" xfId="0" applyFont="1" applyFill="1" applyBorder="1" applyAlignment="1">
      <alignment horizontal="center" vertical="center"/>
    </xf>
    <xf numFmtId="0" fontId="12" fillId="22" borderId="30" xfId="0" applyFont="1" applyFill="1" applyBorder="1" applyAlignment="1" applyProtection="1">
      <alignment horizontal="center" vertical="center" wrapText="1"/>
    </xf>
    <xf numFmtId="0" fontId="12" fillId="22" borderId="9" xfId="0" applyFont="1" applyFill="1" applyBorder="1" applyAlignment="1" applyProtection="1">
      <alignment horizontal="center" vertical="center" wrapText="1"/>
    </xf>
    <xf numFmtId="0" fontId="12" fillId="22" borderId="31" xfId="0" applyFont="1" applyFill="1" applyBorder="1" applyAlignment="1" applyProtection="1">
      <alignment horizontal="center" vertical="center" wrapText="1"/>
    </xf>
    <xf numFmtId="0" fontId="12" fillId="22" borderId="12" xfId="0" applyFont="1" applyFill="1" applyBorder="1" applyAlignment="1" applyProtection="1">
      <alignment horizontal="center" vertical="center" wrapText="1"/>
    </xf>
    <xf numFmtId="0" fontId="12" fillId="22" borderId="0" xfId="0" applyFont="1" applyFill="1" applyAlignment="1" applyProtection="1">
      <alignment horizontal="center" vertical="center" wrapText="1"/>
    </xf>
    <xf numFmtId="0" fontId="12" fillId="22" borderId="13" xfId="0" applyFont="1" applyFill="1" applyBorder="1" applyAlignment="1" applyProtection="1">
      <alignment horizontal="center" vertical="center" wrapText="1"/>
    </xf>
    <xf numFmtId="0" fontId="7" fillId="19" borderId="1" xfId="0" applyFont="1" applyFill="1" applyBorder="1" applyAlignment="1" applyProtection="1">
      <alignment horizontal="center" vertical="center" wrapText="1"/>
    </xf>
    <xf numFmtId="169" fontId="0" fillId="3" borderId="1" xfId="0" applyNumberFormat="1" applyFill="1" applyBorder="1" applyAlignment="1" applyProtection="1">
      <alignment horizontal="center"/>
    </xf>
    <xf numFmtId="0" fontId="7" fillId="19" borderId="3" xfId="0" applyFont="1" applyFill="1" applyBorder="1" applyAlignment="1" applyProtection="1">
      <alignment horizontal="center" vertical="center" wrapText="1"/>
    </xf>
    <xf numFmtId="0" fontId="7" fillId="19" borderId="2" xfId="0" applyFont="1" applyFill="1" applyBorder="1" applyAlignment="1" applyProtection="1">
      <alignment horizontal="center" vertical="center" wrapText="1"/>
    </xf>
    <xf numFmtId="0" fontId="7" fillId="19" borderId="4" xfId="0" applyFont="1" applyFill="1" applyBorder="1" applyAlignment="1" applyProtection="1">
      <alignment horizontal="center" vertical="center" wrapText="1"/>
    </xf>
    <xf numFmtId="0" fontId="7" fillId="19" borderId="30" xfId="0" applyFont="1" applyFill="1" applyBorder="1" applyAlignment="1" applyProtection="1">
      <alignment horizontal="center" vertical="center" wrapText="1"/>
    </xf>
    <xf numFmtId="0" fontId="7" fillId="19" borderId="9" xfId="0" applyFont="1" applyFill="1" applyBorder="1" applyAlignment="1" applyProtection="1">
      <alignment horizontal="center" vertical="center" wrapText="1"/>
    </xf>
    <xf numFmtId="0" fontId="7" fillId="19" borderId="31" xfId="0" applyFont="1" applyFill="1" applyBorder="1" applyAlignment="1" applyProtection="1">
      <alignment horizontal="center" vertical="center" wrapText="1"/>
    </xf>
    <xf numFmtId="44" fontId="0" fillId="8" borderId="3" xfId="1" applyNumberFormat="1" applyFont="1" applyFill="1" applyBorder="1" applyAlignment="1" applyProtection="1">
      <alignment horizontal="center" vertical="center"/>
    </xf>
    <xf numFmtId="44" fontId="0" fillId="8" borderId="4" xfId="1" applyNumberFormat="1" applyFont="1" applyFill="1" applyBorder="1" applyAlignment="1" applyProtection="1">
      <alignment horizontal="center" vertical="center"/>
    </xf>
    <xf numFmtId="0" fontId="67" fillId="19" borderId="17" xfId="0" applyFont="1" applyFill="1" applyBorder="1" applyAlignment="1">
      <alignment horizontal="center" vertical="center"/>
    </xf>
    <xf numFmtId="0" fontId="67" fillId="19" borderId="6" xfId="0" applyFont="1" applyFill="1" applyBorder="1" applyAlignment="1">
      <alignment horizontal="center" vertical="center"/>
    </xf>
    <xf numFmtId="0" fontId="67" fillId="19" borderId="18" xfId="0" applyFont="1" applyFill="1" applyBorder="1" applyAlignment="1">
      <alignment horizontal="center" vertical="center"/>
    </xf>
    <xf numFmtId="0" fontId="12" fillId="19" borderId="30" xfId="0" applyFont="1" applyFill="1" applyBorder="1" applyAlignment="1" applyProtection="1">
      <alignment horizontal="center" vertical="center" wrapText="1"/>
    </xf>
    <xf numFmtId="0" fontId="12" fillId="19" borderId="9" xfId="0" applyFont="1" applyFill="1" applyBorder="1" applyAlignment="1" applyProtection="1">
      <alignment horizontal="center" vertical="center" wrapText="1"/>
    </xf>
    <xf numFmtId="0" fontId="12" fillId="19" borderId="31" xfId="0" applyFont="1" applyFill="1" applyBorder="1" applyAlignment="1" applyProtection="1">
      <alignment horizontal="center" vertical="center" wrapText="1"/>
    </xf>
    <xf numFmtId="0" fontId="12" fillId="19" borderId="12" xfId="0" applyFont="1" applyFill="1" applyBorder="1" applyAlignment="1" applyProtection="1">
      <alignment horizontal="center" vertical="center" wrapText="1"/>
    </xf>
    <xf numFmtId="0" fontId="12" fillId="19" borderId="0" xfId="0" applyFont="1" applyFill="1" applyAlignment="1" applyProtection="1">
      <alignment horizontal="center" vertical="center" wrapText="1"/>
    </xf>
    <xf numFmtId="0" fontId="12" fillId="19" borderId="13" xfId="0" applyFont="1" applyFill="1" applyBorder="1" applyAlignment="1" applyProtection="1">
      <alignment horizontal="center" vertical="center" wrapText="1"/>
    </xf>
    <xf numFmtId="0" fontId="7" fillId="18" borderId="1" xfId="0" applyFont="1" applyFill="1" applyBorder="1" applyAlignment="1" applyProtection="1">
      <alignment horizontal="center" vertical="center" wrapText="1"/>
    </xf>
    <xf numFmtId="0" fontId="7" fillId="18" borderId="3" xfId="0" applyFont="1" applyFill="1" applyBorder="1" applyAlignment="1" applyProtection="1">
      <alignment horizontal="center" vertical="center" wrapText="1"/>
    </xf>
    <xf numFmtId="0" fontId="7" fillId="18" borderId="2" xfId="0" applyFont="1" applyFill="1" applyBorder="1" applyAlignment="1" applyProtection="1">
      <alignment horizontal="center" vertical="center" wrapText="1"/>
    </xf>
    <xf numFmtId="0" fontId="7" fillId="18" borderId="4" xfId="0" applyFont="1" applyFill="1" applyBorder="1" applyAlignment="1" applyProtection="1">
      <alignment horizontal="center" vertical="center" wrapText="1"/>
    </xf>
    <xf numFmtId="0" fontId="7" fillId="18" borderId="30" xfId="0" applyFont="1" applyFill="1" applyBorder="1" applyAlignment="1">
      <alignment horizontal="center" vertical="center" wrapText="1"/>
    </xf>
    <xf numFmtId="0" fontId="7" fillId="18" borderId="9" xfId="0" applyFont="1" applyFill="1" applyBorder="1" applyAlignment="1">
      <alignment horizontal="center" vertical="center" wrapText="1"/>
    </xf>
    <xf numFmtId="0" fontId="7" fillId="18" borderId="31" xfId="0" applyFont="1" applyFill="1" applyBorder="1" applyAlignment="1">
      <alignment horizontal="center" vertical="center" wrapText="1"/>
    </xf>
    <xf numFmtId="0" fontId="6" fillId="11" borderId="28" xfId="0" applyFont="1" applyFill="1" applyBorder="1" applyAlignment="1">
      <alignment horizontal="left" vertical="center" wrapText="1"/>
    </xf>
    <xf numFmtId="0" fontId="6" fillId="11" borderId="7" xfId="0" applyFont="1" applyFill="1" applyBorder="1" applyAlignment="1">
      <alignment horizontal="left" vertical="center" wrapText="1"/>
    </xf>
    <xf numFmtId="0" fontId="6" fillId="11" borderId="29" xfId="0" applyFont="1" applyFill="1" applyBorder="1" applyAlignment="1">
      <alignment horizontal="left" vertical="center" wrapText="1"/>
    </xf>
    <xf numFmtId="0" fontId="6" fillId="11" borderId="19" xfId="0" applyFont="1" applyFill="1" applyBorder="1" applyAlignment="1">
      <alignment horizontal="left" vertical="center" wrapText="1"/>
    </xf>
    <xf numFmtId="0" fontId="6" fillId="11" borderId="8" xfId="0" applyFont="1" applyFill="1" applyBorder="1" applyAlignment="1">
      <alignment horizontal="left" vertical="center" wrapText="1"/>
    </xf>
    <xf numFmtId="0" fontId="6" fillId="11" borderId="20" xfId="0" applyFont="1" applyFill="1" applyBorder="1" applyAlignment="1">
      <alignment horizontal="left" vertical="center" wrapText="1"/>
    </xf>
    <xf numFmtId="0" fontId="51" fillId="3" borderId="17" xfId="0" applyFont="1" applyFill="1" applyBorder="1"/>
    <xf numFmtId="0" fontId="51" fillId="3" borderId="18" xfId="0" applyFont="1" applyFill="1" applyBorder="1"/>
    <xf numFmtId="0" fontId="67" fillId="18" borderId="17" xfId="0" applyFont="1" applyFill="1" applyBorder="1" applyAlignment="1">
      <alignment horizontal="center" vertical="center"/>
    </xf>
    <xf numFmtId="0" fontId="67" fillId="18" borderId="6" xfId="0" applyFont="1" applyFill="1" applyBorder="1" applyAlignment="1">
      <alignment horizontal="center" vertical="center"/>
    </xf>
    <xf numFmtId="0" fontId="67" fillId="18" borderId="18" xfId="0" applyFont="1" applyFill="1" applyBorder="1" applyAlignment="1">
      <alignment horizontal="center" vertical="center"/>
    </xf>
    <xf numFmtId="0" fontId="12" fillId="18" borderId="30" xfId="0" applyFont="1" applyFill="1" applyBorder="1" applyAlignment="1" applyProtection="1">
      <alignment horizontal="center" vertical="center" wrapText="1"/>
    </xf>
    <xf numFmtId="0" fontId="12" fillId="18" borderId="9" xfId="0" applyFont="1" applyFill="1" applyBorder="1" applyAlignment="1" applyProtection="1">
      <alignment horizontal="center" vertical="center" wrapText="1"/>
    </xf>
    <xf numFmtId="0" fontId="12" fillId="18" borderId="31" xfId="0" applyFont="1" applyFill="1" applyBorder="1" applyAlignment="1" applyProtection="1">
      <alignment horizontal="center" vertical="center" wrapText="1"/>
    </xf>
    <xf numFmtId="0" fontId="12" fillId="18" borderId="12" xfId="0" applyFont="1" applyFill="1" applyBorder="1" applyAlignment="1" applyProtection="1">
      <alignment horizontal="center" vertical="center" wrapText="1"/>
    </xf>
    <xf numFmtId="0" fontId="12" fillId="18" borderId="0" xfId="0" applyFont="1" applyFill="1" applyAlignment="1" applyProtection="1">
      <alignment horizontal="center" vertical="center" wrapText="1"/>
    </xf>
    <xf numFmtId="0" fontId="12" fillId="18" borderId="13" xfId="0" applyFont="1" applyFill="1" applyBorder="1" applyAlignment="1" applyProtection="1">
      <alignment horizontal="center" vertical="center" wrapText="1"/>
    </xf>
    <xf numFmtId="0" fontId="7" fillId="23" borderId="1" xfId="0" applyFont="1" applyFill="1" applyBorder="1" applyAlignment="1" applyProtection="1">
      <alignment horizontal="center" vertical="center" wrapText="1"/>
    </xf>
    <xf numFmtId="0" fontId="7" fillId="23" borderId="3" xfId="0" applyFont="1" applyFill="1" applyBorder="1" applyAlignment="1" applyProtection="1">
      <alignment horizontal="center" vertical="center" wrapText="1"/>
    </xf>
    <xf numFmtId="0" fontId="7" fillId="23" borderId="2" xfId="0" applyFont="1" applyFill="1" applyBorder="1" applyAlignment="1" applyProtection="1">
      <alignment horizontal="center" vertical="center" wrapText="1"/>
    </xf>
    <xf numFmtId="0" fontId="7" fillId="23" borderId="4" xfId="0" applyFont="1" applyFill="1" applyBorder="1" applyAlignment="1" applyProtection="1">
      <alignment horizontal="center" vertical="center" wrapText="1"/>
    </xf>
    <xf numFmtId="0" fontId="7" fillId="23" borderId="30" xfId="0" applyFont="1" applyFill="1" applyBorder="1" applyAlignment="1">
      <alignment horizontal="center" vertical="center" wrapText="1"/>
    </xf>
    <xf numFmtId="0" fontId="7" fillId="23" borderId="9" xfId="0" applyFont="1" applyFill="1" applyBorder="1" applyAlignment="1">
      <alignment horizontal="center" vertical="center" wrapText="1"/>
    </xf>
    <xf numFmtId="0" fontId="7" fillId="23" borderId="31" xfId="0" applyFont="1" applyFill="1" applyBorder="1" applyAlignment="1">
      <alignment horizontal="center" vertical="center" wrapText="1"/>
    </xf>
    <xf numFmtId="0" fontId="67" fillId="23" borderId="17" xfId="0" applyFont="1" applyFill="1" applyBorder="1" applyAlignment="1">
      <alignment horizontal="center" vertical="center"/>
    </xf>
    <xf numFmtId="0" fontId="67" fillId="23" borderId="6" xfId="0" applyFont="1" applyFill="1" applyBorder="1" applyAlignment="1">
      <alignment horizontal="center" vertical="center"/>
    </xf>
    <xf numFmtId="0" fontId="67" fillId="23" borderId="18" xfId="0" applyFont="1" applyFill="1" applyBorder="1" applyAlignment="1">
      <alignment horizontal="center" vertical="center"/>
    </xf>
    <xf numFmtId="0" fontId="12" fillId="23" borderId="30" xfId="0" applyFont="1" applyFill="1" applyBorder="1" applyAlignment="1" applyProtection="1">
      <alignment horizontal="center" vertical="center" wrapText="1"/>
    </xf>
    <xf numFmtId="0" fontId="12" fillId="23" borderId="9" xfId="0" applyFont="1" applyFill="1" applyBorder="1" applyAlignment="1" applyProtection="1">
      <alignment horizontal="center" vertical="center" wrapText="1"/>
    </xf>
    <xf numFmtId="0" fontId="12" fillId="23" borderId="31" xfId="0" applyFont="1" applyFill="1" applyBorder="1" applyAlignment="1" applyProtection="1">
      <alignment horizontal="center" vertical="center" wrapText="1"/>
    </xf>
    <xf numFmtId="0" fontId="12" fillId="23" borderId="12" xfId="0" applyFont="1" applyFill="1" applyBorder="1" applyAlignment="1" applyProtection="1">
      <alignment horizontal="center" vertical="center" wrapText="1"/>
    </xf>
    <xf numFmtId="0" fontId="12" fillId="23" borderId="0" xfId="0" applyFont="1" applyFill="1" applyAlignment="1" applyProtection="1">
      <alignment horizontal="center" vertical="center" wrapText="1"/>
    </xf>
    <xf numFmtId="0" fontId="12" fillId="23" borderId="13" xfId="0" applyFont="1" applyFill="1" applyBorder="1" applyAlignment="1" applyProtection="1">
      <alignment horizontal="center" vertical="center" wrapText="1"/>
    </xf>
    <xf numFmtId="176" fontId="0" fillId="0" borderId="8" xfId="1" applyNumberFormat="1" applyFont="1" applyBorder="1" applyAlignment="1" applyProtection="1">
      <alignment horizontal="center"/>
    </xf>
  </cellXfs>
  <cellStyles count="7">
    <cellStyle name="Comma" xfId="4" builtinId="3"/>
    <cellStyle name="Currency" xfId="1" builtinId="4"/>
    <cellStyle name="Hyperlink" xfId="3" builtinId="8"/>
    <cellStyle name="Normal" xfId="0" builtinId="0"/>
    <cellStyle name="Normal 2" xfId="6" xr:uid="{204A435F-6888-4E60-94A9-063E0350EA77}"/>
    <cellStyle name="Normal 3" xfId="5" xr:uid="{D0461DC4-8E49-483D-AF23-5F0140841874}"/>
    <cellStyle name="Percent" xfId="2" builtinId="5"/>
  </cellStyles>
  <dxfs count="219">
    <dxf>
      <font>
        <b/>
        <i val="0"/>
        <color rgb="FFFFFF00"/>
      </font>
      <fill>
        <patternFill>
          <bgColor rgb="FFFF0000"/>
        </patternFill>
      </fill>
    </dxf>
    <dxf>
      <font>
        <b/>
        <i val="0"/>
        <color rgb="FF92D050"/>
      </font>
    </dxf>
    <dxf>
      <font>
        <b/>
        <i val="0"/>
        <color rgb="FFFF0000"/>
      </font>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ill>
        <patternFill>
          <bgColor theme="2"/>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theme="0" tint="-4.9989318521683403E-2"/>
        </patternFill>
      </fill>
    </dxf>
    <dxf>
      <font>
        <b/>
        <i val="0"/>
        <strike val="0"/>
        <condense val="0"/>
        <extend val="0"/>
        <outline val="0"/>
        <shadow val="0"/>
        <u val="none"/>
        <vertAlign val="baseline"/>
        <sz val="12"/>
        <color auto="1"/>
        <name val="Calibri"/>
        <family val="2"/>
        <scheme val="minor"/>
      </font>
      <numFmt numFmtId="34" formatCode="_(&quot;$&quot;* #,##0.00_);_(&quot;$&quot;* \(#,##0.00\);_(&quot;$&quot;* &quot;-&quot;??_);_(@_)"/>
      <fill>
        <patternFill patternType="none">
          <fgColor indexed="64"/>
          <bgColor indexed="65"/>
        </patternFill>
      </fill>
      <protection locked="1" hidden="0"/>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protection locked="1" hidden="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alignment horizontal="left" vertical="top" textRotation="0" wrapText="0" indent="0" justifyLastLine="0" shrinkToFit="0" readingOrder="0"/>
      <protection locked="0" hidden="0"/>
    </dxf>
    <dxf>
      <font>
        <strike val="0"/>
        <outline val="0"/>
        <shadow val="0"/>
        <u val="none"/>
        <vertAlign val="baseline"/>
        <sz val="11"/>
        <color rgb="FFFFFFFF"/>
        <name val="Calibri"/>
        <scheme val="none"/>
      </font>
      <fill>
        <patternFill patternType="solid">
          <fgColor rgb="FF000000"/>
          <bgColor rgb="FF002060"/>
        </patternFill>
      </fill>
      <protection locked="1" hidden="0"/>
    </dxf>
    <dxf>
      <protection locked="0" hidden="0"/>
    </dxf>
    <dxf>
      <font>
        <i/>
        <strike val="0"/>
        <outline val="0"/>
        <shadow val="0"/>
        <u val="none"/>
        <vertAlign val="baseline"/>
        <sz val="11"/>
        <color auto="1"/>
        <name val="Calibri"/>
        <scheme val="minor"/>
      </font>
      <fill>
        <patternFill patternType="solid">
          <fgColor indexed="64"/>
          <bgColor rgb="FF002060"/>
        </patternFill>
      </fill>
      <protection locked="1" hidden="0"/>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ont>
        <b/>
        <i val="0"/>
        <color rgb="FFFFFF00"/>
      </font>
      <fill>
        <patternFill>
          <bgColor rgb="FFFF0000"/>
        </patternFill>
      </fill>
    </dxf>
    <dxf>
      <font>
        <b/>
        <i val="0"/>
        <color rgb="FF92D050"/>
      </font>
    </dxf>
    <dxf>
      <font>
        <b/>
        <i val="0"/>
        <color rgb="FFFF0000"/>
      </font>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ill>
        <patternFill>
          <bgColor theme="2"/>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theme="0" tint="-4.9989318521683403E-2"/>
        </patternFill>
      </fill>
    </dxf>
    <dxf>
      <font>
        <b/>
        <i val="0"/>
        <strike val="0"/>
        <condense val="0"/>
        <extend val="0"/>
        <outline val="0"/>
        <shadow val="0"/>
        <u val="none"/>
        <vertAlign val="baseline"/>
        <sz val="12"/>
        <color auto="1"/>
        <name val="Calibri"/>
        <family val="2"/>
        <scheme val="minor"/>
      </font>
      <numFmt numFmtId="34" formatCode="_(&quot;$&quot;* #,##0.00_);_(&quot;$&quot;* \(#,##0.00\);_(&quot;$&quot;* &quot;-&quot;??_);_(@_)"/>
      <fill>
        <patternFill patternType="none">
          <fgColor indexed="64"/>
          <bgColor indexed="65"/>
        </patternFill>
      </fill>
      <protection locked="1" hidden="0"/>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protection locked="1" hidden="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alignment horizontal="left" vertical="top" textRotation="0" wrapText="0" indent="0" justifyLastLine="0" shrinkToFit="0" readingOrder="0"/>
      <protection locked="0" hidden="0"/>
    </dxf>
    <dxf>
      <font>
        <strike val="0"/>
        <outline val="0"/>
        <shadow val="0"/>
        <u val="none"/>
        <vertAlign val="baseline"/>
        <sz val="11"/>
        <color rgb="FFFFFFFF"/>
        <name val="Calibri"/>
        <scheme val="none"/>
      </font>
      <fill>
        <patternFill patternType="solid">
          <fgColor rgb="FF000000"/>
          <bgColor rgb="FF002060"/>
        </patternFill>
      </fill>
      <protection locked="1" hidden="0"/>
    </dxf>
    <dxf>
      <protection locked="0" hidden="0"/>
    </dxf>
    <dxf>
      <font>
        <i/>
        <strike val="0"/>
        <outline val="0"/>
        <shadow val="0"/>
        <u val="none"/>
        <vertAlign val="baseline"/>
        <sz val="11"/>
        <color auto="1"/>
        <name val="Calibri"/>
        <scheme val="minor"/>
      </font>
      <fill>
        <patternFill patternType="solid">
          <fgColor indexed="64"/>
          <bgColor rgb="FF002060"/>
        </patternFill>
      </fill>
      <protection locked="1" hidden="0"/>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dxf>
    <dxf>
      <font>
        <color theme="0"/>
      </font>
      <fill>
        <patternFill>
          <bgColor rgb="FFFF0000"/>
        </patternFill>
      </fill>
    </dxf>
    <dxf>
      <fill>
        <patternFill>
          <bgColor rgb="FF92D050"/>
        </patternFill>
      </fill>
    </dxf>
    <dxf>
      <font>
        <color theme="0"/>
      </font>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ont>
        <b/>
        <i val="0"/>
        <color rgb="FFFFFF00"/>
      </font>
      <fill>
        <patternFill>
          <bgColor rgb="FFFF0000"/>
        </patternFill>
      </fill>
    </dxf>
    <dxf>
      <font>
        <b/>
        <i val="0"/>
        <color rgb="FF92D050"/>
      </font>
    </dxf>
    <dxf>
      <font>
        <b/>
        <i val="0"/>
        <color rgb="FFFF0000"/>
      </font>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ill>
        <patternFill>
          <bgColor theme="2"/>
        </patternFill>
      </fill>
    </dxf>
    <dxf>
      <fill>
        <patternFill>
          <bgColor theme="2"/>
        </patternFill>
      </fill>
    </dxf>
    <dxf>
      <fill>
        <patternFill>
          <bgColor rgb="FFFF0000"/>
        </patternFill>
      </fill>
    </dxf>
    <dxf>
      <fill>
        <patternFill>
          <bgColor rgb="FF92D050"/>
        </patternFill>
      </fill>
    </dxf>
    <dxf>
      <fill>
        <patternFill>
          <bgColor theme="2"/>
        </patternFill>
      </fill>
    </dxf>
    <dxf>
      <fill>
        <patternFill>
          <bgColor rgb="FF92D050"/>
        </patternFill>
      </fill>
    </dxf>
    <dxf>
      <fill>
        <patternFill>
          <bgColor rgb="FFFF0000"/>
        </patternFill>
      </fill>
    </dxf>
    <dxf>
      <fill>
        <patternFill>
          <bgColor rgb="FFFF0000"/>
        </patternFill>
      </fill>
    </dxf>
    <dxf>
      <fill>
        <patternFill>
          <bgColor theme="0" tint="-4.9989318521683403E-2"/>
        </patternFill>
      </fill>
    </dxf>
    <dxf>
      <font>
        <b/>
        <i val="0"/>
        <strike val="0"/>
        <condense val="0"/>
        <extend val="0"/>
        <outline val="0"/>
        <shadow val="0"/>
        <u val="none"/>
        <vertAlign val="baseline"/>
        <sz val="12"/>
        <color auto="1"/>
        <name val="Calibri"/>
        <family val="2"/>
        <scheme val="minor"/>
      </font>
      <numFmt numFmtId="34" formatCode="_(&quot;$&quot;* #,##0.00_);_(&quot;$&quot;* \(#,##0.00\);_(&quot;$&quot;* &quot;-&quot;??_);_(@_)"/>
      <fill>
        <patternFill patternType="none">
          <fgColor indexed="64"/>
          <bgColor indexed="65"/>
        </patternFill>
      </fill>
      <protection locked="1" hidden="0"/>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protection locked="1" hidden="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alignment horizontal="left" vertical="top" textRotation="0" wrapText="0" indent="0" justifyLastLine="0" shrinkToFit="0" readingOrder="0"/>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alignment horizontal="left" vertical="top" textRotation="0" wrapText="0" indent="0" justifyLastLine="0" shrinkToFit="0" readingOrder="0"/>
      <protection locked="0" hidden="0"/>
    </dxf>
    <dxf>
      <font>
        <strike val="0"/>
        <outline val="0"/>
        <shadow val="0"/>
        <u val="none"/>
        <vertAlign val="baseline"/>
        <sz val="11"/>
        <color rgb="FFFFFFFF"/>
        <name val="Calibri"/>
        <scheme val="none"/>
      </font>
      <fill>
        <patternFill patternType="solid">
          <fgColor rgb="FF000000"/>
          <bgColor rgb="FF002060"/>
        </patternFill>
      </fill>
      <protection locked="1" hidden="0"/>
    </dxf>
    <dxf>
      <protection locked="0" hidden="0"/>
    </dxf>
    <dxf>
      <font>
        <i/>
        <strike val="0"/>
        <outline val="0"/>
        <shadow val="0"/>
        <u val="none"/>
        <vertAlign val="baseline"/>
        <sz val="11"/>
        <color auto="1"/>
        <name val="Calibri"/>
        <scheme val="minor"/>
      </font>
      <fill>
        <patternFill patternType="solid">
          <fgColor indexed="64"/>
          <bgColor rgb="FF002060"/>
        </patternFill>
      </fill>
      <protection locked="1" hidden="0"/>
    </dxf>
    <dxf>
      <fill>
        <patternFill>
          <bgColor rgb="FF92D050"/>
        </patternFill>
      </fill>
    </dxf>
    <dxf>
      <fill>
        <patternFill>
          <bgColor rgb="FFFF0000"/>
        </patternFill>
      </fill>
    </dxf>
    <dxf>
      <fill>
        <patternFill>
          <bgColor rgb="FFFFFF00"/>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theme="0"/>
      </font>
      <fill>
        <patternFill>
          <bgColor rgb="FFFF0000"/>
        </patternFill>
      </fill>
    </dxf>
    <dxf>
      <fill>
        <patternFill>
          <bgColor rgb="FF92D050"/>
        </patternFill>
      </fill>
    </dxf>
    <dxf>
      <font>
        <color theme="0"/>
      </font>
      <fill>
        <patternFill>
          <bgColor rgb="FFFF0000"/>
        </patternFill>
      </fill>
    </dxf>
    <dxf>
      <font>
        <color theme="0"/>
      </font>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ont>
        <b/>
        <i val="0"/>
        <color rgb="FFFFFF00"/>
      </font>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rgb="FF92D050"/>
      </font>
    </dxf>
    <dxf>
      <font>
        <b/>
        <i val="0"/>
        <color rgb="FFFF0000"/>
      </font>
    </dxf>
    <dxf>
      <fill>
        <patternFill>
          <bgColor theme="2"/>
        </patternFill>
      </fill>
    </dxf>
    <dxf>
      <fill>
        <patternFill>
          <bgColor rgb="FFFF0000"/>
        </patternFill>
      </fill>
    </dxf>
    <dxf>
      <fill>
        <patternFill>
          <bgColor rgb="FF92D050"/>
        </patternFill>
      </fill>
    </dxf>
    <dxf>
      <fill>
        <patternFill>
          <bgColor theme="2"/>
        </patternFill>
      </fill>
    </dxf>
    <dxf>
      <fill>
        <patternFill>
          <bgColor theme="2"/>
        </patternFill>
      </fill>
    </dxf>
    <dxf>
      <fill>
        <patternFill>
          <bgColor rgb="FF92D050"/>
        </patternFill>
      </fill>
    </dxf>
    <dxf>
      <fill>
        <patternFill>
          <bgColor rgb="FFFF0000"/>
        </patternFill>
      </fill>
    </dxf>
    <dxf>
      <fill>
        <patternFill>
          <bgColor rgb="FFFF0000"/>
        </patternFill>
      </fill>
    </dxf>
    <dxf>
      <fill>
        <patternFill>
          <bgColor theme="0" tint="-4.9989318521683403E-2"/>
        </patternFill>
      </fill>
    </dxf>
    <dxf>
      <fill>
        <patternFill>
          <bgColor rgb="FF92D050"/>
        </patternFill>
      </fill>
    </dxf>
    <dxf>
      <fill>
        <patternFill>
          <bgColor rgb="FFFF0000"/>
        </patternFill>
      </fill>
    </dxf>
    <dxf>
      <fill>
        <patternFill>
          <bgColor rgb="FFFFFF0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theme="0" tint="-4.9989318521683403E-2"/>
        </patternFill>
      </fill>
    </dxf>
    <dxf>
      <fill>
        <patternFill>
          <bgColor theme="0" tint="-4.9989318521683403E-2"/>
        </patternFill>
      </fill>
    </dxf>
    <dxf>
      <font>
        <color theme="0"/>
      </font>
    </dxf>
    <dxf>
      <fill>
        <patternFill>
          <bgColor theme="0" tint="-4.9989318521683403E-2"/>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ont>
        <b/>
        <i val="0"/>
        <color rgb="FFFFFF00"/>
      </font>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ill>
        <patternFill>
          <bgColor rgb="FFFF0000"/>
        </patternFill>
      </fill>
    </dxf>
    <dxf>
      <fill>
        <patternFill>
          <bgColor rgb="FF92D050"/>
        </patternFill>
      </fill>
    </dxf>
    <dxf>
      <fill>
        <patternFill>
          <bgColor theme="2"/>
        </patternFill>
      </fill>
    </dxf>
    <dxf>
      <fill>
        <patternFill>
          <bgColor rgb="FF92D050"/>
        </patternFill>
      </fill>
    </dxf>
    <dxf>
      <fill>
        <patternFill>
          <bgColor rgb="FFFF0000"/>
        </patternFill>
      </fill>
    </dxf>
    <dxf>
      <fill>
        <patternFill>
          <bgColor theme="0" tint="-4.9989318521683403E-2"/>
        </patternFill>
      </fill>
    </dxf>
    <dxf>
      <font>
        <b/>
        <i val="0"/>
        <strike val="0"/>
        <condense val="0"/>
        <extend val="0"/>
        <outline val="0"/>
        <shadow val="0"/>
        <u val="none"/>
        <vertAlign val="baseline"/>
        <sz val="12"/>
        <color auto="1"/>
        <name val="Calibri"/>
        <family val="2"/>
        <scheme val="minor"/>
      </font>
      <numFmt numFmtId="34" formatCode="_(&quot;$&quot;* #,##0.00_);_(&quot;$&quot;* \(#,##0.00\);_(&quot;$&quot;* &quot;-&quot;??_);_(@_)"/>
      <fill>
        <patternFill patternType="none">
          <fgColor indexed="64"/>
          <bgColor indexed="65"/>
        </patternFill>
      </fill>
      <protection locked="1" hidden="0"/>
    </dxf>
    <dxf>
      <numFmt numFmtId="34" formatCode="_(&quot;$&quot;* #,##0.00_);_(&quot;$&quot;* \(#,##0.00\);_(&quot;$&quot;* &quot;-&quot;??_);_(@_)"/>
      <protection locked="0" hidden="0"/>
    </dxf>
    <dxf>
      <font>
        <b/>
        <i val="0"/>
        <strike val="0"/>
        <condense val="0"/>
        <extend val="0"/>
        <outline val="0"/>
        <shadow val="0"/>
        <u val="none"/>
        <vertAlign val="baseline"/>
        <sz val="10"/>
        <color theme="0"/>
        <name val="Calibri"/>
        <family val="2"/>
        <scheme val="minor"/>
      </font>
      <fill>
        <patternFill patternType="solid">
          <fgColor indexed="64"/>
          <bgColor rgb="FF002060"/>
        </patternFill>
      </fill>
      <alignment horizontal="right" vertical="bottom" textRotation="0" wrapText="0" indent="0" justifyLastLine="0" shrinkToFit="0" readingOrder="0"/>
      <protection locked="1" hidden="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protection locked="0" hidden="0"/>
    </dxf>
    <dxf>
      <font>
        <b val="0"/>
        <i val="0"/>
        <strike val="0"/>
        <condense val="0"/>
        <extend val="0"/>
        <outline val="0"/>
        <shadow val="0"/>
        <u val="none"/>
        <vertAlign val="baseline"/>
        <sz val="11"/>
        <color theme="0"/>
        <name val="Calibri"/>
        <family val="2"/>
        <scheme val="minor"/>
      </font>
      <fill>
        <patternFill patternType="solid">
          <fgColor indexed="64"/>
          <bgColor rgb="FF002060"/>
        </patternFill>
      </fill>
      <protection locked="1" hidden="0"/>
    </dxf>
    <dxf>
      <protection locked="0" hidden="0"/>
    </dxf>
    <dxf>
      <font>
        <strike val="0"/>
        <outline val="0"/>
        <shadow val="0"/>
        <u val="none"/>
        <vertAlign val="baseline"/>
        <sz val="11"/>
        <color theme="0"/>
        <name val="Calibri"/>
        <scheme val="minor"/>
      </font>
      <fill>
        <patternFill patternType="solid">
          <fgColor indexed="64"/>
          <bgColor rgb="FF002060"/>
        </patternFill>
      </fill>
      <protection locked="1" hidden="0"/>
    </dxf>
    <dxf>
      <protection locked="0" hidden="0"/>
    </dxf>
    <dxf>
      <font>
        <i/>
        <strike val="0"/>
        <outline val="0"/>
        <shadow val="0"/>
        <u val="none"/>
        <vertAlign val="baseline"/>
        <sz val="11"/>
        <color auto="1"/>
        <name val="Calibri"/>
        <scheme val="minor"/>
      </font>
      <fill>
        <patternFill patternType="solid">
          <fgColor indexed="64"/>
          <bgColor rgb="FF002060"/>
        </patternFill>
      </fill>
      <protection locked="1" hidden="0"/>
    </dxf>
    <dxf>
      <fill>
        <patternFill>
          <bgColor rgb="FF92D050"/>
        </patternFill>
      </fill>
    </dxf>
    <dxf>
      <fill>
        <patternFill>
          <bgColor rgb="FFFF0000"/>
        </patternFill>
      </fill>
    </dxf>
    <dxf>
      <fill>
        <patternFill>
          <bgColor rgb="FFFFFF00"/>
        </patternFill>
      </fill>
    </dxf>
    <dxf>
      <font>
        <color theme="0"/>
      </font>
    </dxf>
    <dxf>
      <fill>
        <patternFill>
          <bgColor theme="0" tint="-4.9989318521683403E-2"/>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theme="0" tint="-4.9989318521683403E-2"/>
        </patternFill>
      </fill>
    </dxf>
    <dxf>
      <fill>
        <patternFill>
          <bgColor theme="0" tint="-4.9989318521683403E-2"/>
        </patternFill>
      </fill>
    </dxf>
    <dxf>
      <numFmt numFmtId="0" formatCode="General"/>
    </dxf>
    <dxf>
      <numFmt numFmtId="0" formatCode="General"/>
    </dxf>
    <dxf>
      <numFmt numFmtId="0" formatCode="General"/>
    </dxf>
    <dxf>
      <numFmt numFmtId="0" formatCode="Genera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s>
  <tableStyles count="0" defaultTableStyle="TableStyleMedium2" defaultPivotStyle="PivotStyleLight16"/>
  <colors>
    <mruColors>
      <color rgb="FFFF33CC"/>
      <color rgb="FFFF99CC"/>
      <color rgb="FFFFFF99"/>
      <color rgb="FFFFFF66"/>
      <color rgb="FFCC6600"/>
      <color rgb="FFFF7C80"/>
      <color rgb="FF009999"/>
      <color rgb="FF00FF00"/>
      <color rgb="FF02F425"/>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onnections" Target="connection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7620</xdr:colOff>
          <xdr:row>4</xdr:row>
          <xdr:rowOff>76200</xdr:rowOff>
        </xdr:from>
        <xdr:to>
          <xdr:col>14</xdr:col>
          <xdr:colOff>137160</xdr:colOff>
          <xdr:row>5</xdr:row>
          <xdr:rowOff>106680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Teachers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xdr:row>
          <xdr:rowOff>68580</xdr:rowOff>
        </xdr:from>
        <xdr:to>
          <xdr:col>14</xdr:col>
          <xdr:colOff>137160</xdr:colOff>
          <xdr:row>6</xdr:row>
          <xdr:rowOff>99060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Principals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6</xdr:row>
          <xdr:rowOff>60960</xdr:rowOff>
        </xdr:from>
        <xdr:to>
          <xdr:col>16</xdr:col>
          <xdr:colOff>251460</xdr:colOff>
          <xdr:row>7</xdr:row>
          <xdr:rowOff>99060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 school leaders and professionals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7</xdr:row>
          <xdr:rowOff>60960</xdr:rowOff>
        </xdr:from>
        <xdr:to>
          <xdr:col>16</xdr:col>
          <xdr:colOff>121920</xdr:colOff>
          <xdr:row>8</xdr:row>
          <xdr:rowOff>83820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Paraprofessionals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8</xdr:row>
          <xdr:rowOff>38100</xdr:rowOff>
        </xdr:from>
        <xdr:to>
          <xdr:col>16</xdr:col>
          <xdr:colOff>182880</xdr:colOff>
          <xdr:row>9</xdr:row>
          <xdr:rowOff>68580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Instructional support personnel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9</xdr:row>
          <xdr:rowOff>30480</xdr:rowOff>
        </xdr:from>
        <xdr:to>
          <xdr:col>15</xdr:col>
          <xdr:colOff>480060</xdr:colOff>
          <xdr:row>10</xdr:row>
          <xdr:rowOff>60960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Parents/families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10</xdr:row>
          <xdr:rowOff>22860</xdr:rowOff>
        </xdr:from>
        <xdr:to>
          <xdr:col>16</xdr:col>
          <xdr:colOff>251460</xdr:colOff>
          <xdr:row>11</xdr:row>
          <xdr:rowOff>60960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Community partners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11</xdr:row>
          <xdr:rowOff>22860</xdr:rowOff>
        </xdr:from>
        <xdr:to>
          <xdr:col>16</xdr:col>
          <xdr:colOff>121920</xdr:colOff>
          <xdr:row>12</xdr:row>
          <xdr:rowOff>45720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Other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19</xdr:col>
      <xdr:colOff>379505</xdr:colOff>
      <xdr:row>37</xdr:row>
      <xdr:rowOff>65824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22860"/>
          <a:ext cx="11961905" cy="68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74971</xdr:colOff>
      <xdr:row>43</xdr:row>
      <xdr:rowOff>37276</xdr:rowOff>
    </xdr:to>
    <xdr:pic>
      <xdr:nvPicPr>
        <xdr:cNvPr id="6" name="Picture 5">
          <a:extLst>
            <a:ext uri="{FF2B5EF4-FFF2-40B4-BE49-F238E27FC236}">
              <a16:creationId xmlns:a16="http://schemas.microsoft.com/office/drawing/2014/main" id="{00000000-0008-0000-2800-000006000000}"/>
            </a:ext>
          </a:extLst>
        </xdr:cNvPr>
        <xdr:cNvPicPr>
          <a:picLocks noChangeAspect="1"/>
        </xdr:cNvPicPr>
      </xdr:nvPicPr>
      <xdr:blipFill>
        <a:blip xmlns:r="http://schemas.openxmlformats.org/officeDocument/2006/relationships" r:embed="rId1"/>
        <a:stretch>
          <a:fillRect/>
        </a:stretch>
      </xdr:blipFill>
      <xdr:spPr>
        <a:xfrm>
          <a:off x="0" y="0"/>
          <a:ext cx="9828571" cy="6590476"/>
        </a:xfrm>
        <a:prstGeom prst="rect">
          <a:avLst/>
        </a:prstGeom>
      </xdr:spPr>
    </xdr:pic>
    <xdr:clientData/>
  </xdr:twoCellAnchor>
  <xdr:twoCellAnchor editAs="oneCell">
    <xdr:from>
      <xdr:col>0</xdr:col>
      <xdr:colOff>0</xdr:colOff>
      <xdr:row>43</xdr:row>
      <xdr:rowOff>9525</xdr:rowOff>
    </xdr:from>
    <xdr:to>
      <xdr:col>16</xdr:col>
      <xdr:colOff>84495</xdr:colOff>
      <xdr:row>87</xdr:row>
      <xdr:rowOff>37258</xdr:rowOff>
    </xdr:to>
    <xdr:pic>
      <xdr:nvPicPr>
        <xdr:cNvPr id="7" name="Picture 6">
          <a:extLst>
            <a:ext uri="{FF2B5EF4-FFF2-40B4-BE49-F238E27FC236}">
              <a16:creationId xmlns:a16="http://schemas.microsoft.com/office/drawing/2014/main" id="{00000000-0008-0000-2800-000007000000}"/>
            </a:ext>
          </a:extLst>
        </xdr:cNvPr>
        <xdr:cNvPicPr>
          <a:picLocks noChangeAspect="1"/>
        </xdr:cNvPicPr>
      </xdr:nvPicPr>
      <xdr:blipFill>
        <a:blip xmlns:r="http://schemas.openxmlformats.org/officeDocument/2006/relationships" r:embed="rId2"/>
        <a:stretch>
          <a:fillRect/>
        </a:stretch>
      </xdr:blipFill>
      <xdr:spPr>
        <a:xfrm>
          <a:off x="0" y="6562725"/>
          <a:ext cx="9838095" cy="6733333"/>
        </a:xfrm>
        <a:prstGeom prst="rect">
          <a:avLst/>
        </a:prstGeom>
      </xdr:spPr>
    </xdr:pic>
    <xdr:clientData/>
  </xdr:twoCellAnchor>
  <xdr:twoCellAnchor editAs="oneCell">
    <xdr:from>
      <xdr:col>0</xdr:col>
      <xdr:colOff>0</xdr:colOff>
      <xdr:row>87</xdr:row>
      <xdr:rowOff>0</xdr:rowOff>
    </xdr:from>
    <xdr:to>
      <xdr:col>16</xdr:col>
      <xdr:colOff>94019</xdr:colOff>
      <xdr:row>111</xdr:row>
      <xdr:rowOff>85257</xdr:rowOff>
    </xdr:to>
    <xdr:pic>
      <xdr:nvPicPr>
        <xdr:cNvPr id="8" name="Picture 7">
          <a:extLst>
            <a:ext uri="{FF2B5EF4-FFF2-40B4-BE49-F238E27FC236}">
              <a16:creationId xmlns:a16="http://schemas.microsoft.com/office/drawing/2014/main" id="{00000000-0008-0000-2800-000008000000}"/>
            </a:ext>
          </a:extLst>
        </xdr:cNvPr>
        <xdr:cNvPicPr>
          <a:picLocks noChangeAspect="1"/>
        </xdr:cNvPicPr>
      </xdr:nvPicPr>
      <xdr:blipFill>
        <a:blip xmlns:r="http://schemas.openxmlformats.org/officeDocument/2006/relationships" r:embed="rId3"/>
        <a:stretch>
          <a:fillRect/>
        </a:stretch>
      </xdr:blipFill>
      <xdr:spPr>
        <a:xfrm>
          <a:off x="0" y="13258800"/>
          <a:ext cx="9847619" cy="3742857"/>
        </a:xfrm>
        <a:prstGeom prst="rect">
          <a:avLst/>
        </a:prstGeom>
      </xdr:spPr>
    </xdr:pic>
    <xdr:clientData/>
  </xdr:twoCellAnchor>
  <xdr:twoCellAnchor editAs="oneCell">
    <xdr:from>
      <xdr:col>0</xdr:col>
      <xdr:colOff>0</xdr:colOff>
      <xdr:row>111</xdr:row>
      <xdr:rowOff>85725</xdr:rowOff>
    </xdr:from>
    <xdr:to>
      <xdr:col>16</xdr:col>
      <xdr:colOff>27352</xdr:colOff>
      <xdr:row>159</xdr:row>
      <xdr:rowOff>65763</xdr:rowOff>
    </xdr:to>
    <xdr:pic>
      <xdr:nvPicPr>
        <xdr:cNvPr id="10" name="Picture 9">
          <a:extLst>
            <a:ext uri="{FF2B5EF4-FFF2-40B4-BE49-F238E27FC236}">
              <a16:creationId xmlns:a16="http://schemas.microsoft.com/office/drawing/2014/main" id="{00000000-0008-0000-2800-00000A000000}"/>
            </a:ext>
          </a:extLst>
        </xdr:cNvPr>
        <xdr:cNvPicPr>
          <a:picLocks noChangeAspect="1"/>
        </xdr:cNvPicPr>
      </xdr:nvPicPr>
      <xdr:blipFill>
        <a:blip xmlns:r="http://schemas.openxmlformats.org/officeDocument/2006/relationships" r:embed="rId4"/>
        <a:stretch>
          <a:fillRect/>
        </a:stretch>
      </xdr:blipFill>
      <xdr:spPr>
        <a:xfrm>
          <a:off x="0" y="17002125"/>
          <a:ext cx="9780952" cy="72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Chiki\AppData\Local\Microsoft\Windows\INetCache\Content.Outlook\8JGVDQ67\FY21%20Preliminary%20Title%20II%20Allocations%20v2%201014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p 1c"/>
      <sheetName val="Step 2 (Derive counts and PP)"/>
      <sheetName val="Step 3a (adj reg LEAs)"/>
      <sheetName val="Step 3b (sum for charters)"/>
      <sheetName val="Step 4 (Formula Eligibility)"/>
      <sheetName val="Sheet2"/>
      <sheetName val="Step 4 Final Title II FY20"/>
      <sheetName val="Step 4 Title II Prelim FY21pre"/>
      <sheetName val="Step 4 Title II Prelim FY21"/>
      <sheetName val="Allocation Summary"/>
    </sheetNames>
    <sheetDataSet>
      <sheetData sheetId="0"/>
      <sheetData sheetId="1"/>
      <sheetData sheetId="2"/>
      <sheetData sheetId="3"/>
      <sheetData sheetId="4"/>
      <sheetData sheetId="5"/>
      <sheetData sheetId="6">
        <row r="7">
          <cell r="A7" t="str">
            <v>0015</v>
          </cell>
          <cell r="B7" t="str">
            <v>Adams Central Community Schools</v>
          </cell>
          <cell r="C7">
            <v>639</v>
          </cell>
          <cell r="D7">
            <v>3.3806483014755286E-3</v>
          </cell>
          <cell r="E7">
            <v>102826.66532630398</v>
          </cell>
          <cell r="F7">
            <v>1067.0281794632174</v>
          </cell>
          <cell r="G7">
            <v>2514</v>
          </cell>
          <cell r="H7">
            <v>2.1904640751693382E-3</v>
          </cell>
          <cell r="I7">
            <v>16656.429202382675</v>
          </cell>
          <cell r="J7">
            <v>78.359483763832031</v>
          </cell>
          <cell r="K7">
            <v>120628.4821919137</v>
          </cell>
          <cell r="M7">
            <v>104174.76852253234</v>
          </cell>
          <cell r="N7">
            <v>16495.218366779831</v>
          </cell>
          <cell r="O7">
            <v>-281.07501676514221</v>
          </cell>
          <cell r="P7">
            <v>239.57031936667772</v>
          </cell>
          <cell r="Q7">
            <v>-3.4395211658169652E-4</v>
          </cell>
        </row>
        <row r="8">
          <cell r="A8" t="str">
            <v>0025</v>
          </cell>
          <cell r="B8" t="str">
            <v>North Adams Community Schools</v>
          </cell>
          <cell r="C8">
            <v>317</v>
          </cell>
          <cell r="D8">
            <v>1.677097827179566E-3</v>
          </cell>
          <cell r="E8">
            <v>51011.037415396502</v>
          </cell>
          <cell r="F8">
            <v>256.24748019962863</v>
          </cell>
          <cell r="G8">
            <v>2712</v>
          </cell>
          <cell r="H8">
            <v>2.3629827254810047E-3</v>
          </cell>
          <cell r="I8">
            <v>17968.27207512403</v>
          </cell>
          <cell r="J8">
            <v>66.383791409713012</v>
          </cell>
          <cell r="K8">
            <v>69301.940762129874</v>
          </cell>
          <cell r="M8">
            <v>55225.859435056205</v>
          </cell>
          <cell r="N8">
            <v>17819.344807531768</v>
          </cell>
          <cell r="O8">
            <v>-3958.5745394600744</v>
          </cell>
          <cell r="P8">
            <v>215.31105900197508</v>
          </cell>
          <cell r="Q8">
            <v>-5.1245848639514688E-2</v>
          </cell>
        </row>
        <row r="9">
          <cell r="A9" t="str">
            <v>0035</v>
          </cell>
          <cell r="B9" t="str">
            <v>South Adams Schools</v>
          </cell>
          <cell r="C9">
            <v>813</v>
          </cell>
          <cell r="D9">
            <v>4.3012004211261425E-3</v>
          </cell>
          <cell r="E9">
            <v>130826.4145700863</v>
          </cell>
          <cell r="F9">
            <v>1301.612788894141</v>
          </cell>
          <cell r="G9">
            <v>2582</v>
          </cell>
          <cell r="H9">
            <v>2.2497129045693045E-3</v>
          </cell>
          <cell r="I9">
            <v>17106.961098071624</v>
          </cell>
          <cell r="J9">
            <v>30.095472841323499</v>
          </cell>
          <cell r="K9">
            <v>149265.08392989339</v>
          </cell>
          <cell r="M9">
            <v>134912.72161558311</v>
          </cell>
          <cell r="N9">
            <v>16916.574412543116</v>
          </cell>
          <cell r="O9">
            <v>-2784.6942566026701</v>
          </cell>
          <cell r="P9">
            <v>220.48215836983218</v>
          </cell>
          <cell r="Q9">
            <v>-1.6888783425287171E-2</v>
          </cell>
        </row>
        <row r="10">
          <cell r="A10" t="str">
            <v>0125</v>
          </cell>
          <cell r="B10" t="str">
            <v>MSD Southwest Allen County Schls</v>
          </cell>
          <cell r="C10">
            <v>509</v>
          </cell>
          <cell r="D10">
            <v>2.6928794764492082E-3</v>
          </cell>
          <cell r="E10">
            <v>81907.312443018352</v>
          </cell>
          <cell r="F10">
            <v>916.45254717594071</v>
          </cell>
          <cell r="G10">
            <v>8560</v>
          </cell>
          <cell r="H10">
            <v>7.4583820538780977E-3</v>
          </cell>
          <cell r="I10">
            <v>56714.015104373786</v>
          </cell>
          <cell r="J10">
            <v>109.06493639750261</v>
          </cell>
          <cell r="K10">
            <v>139646.8450309656</v>
          </cell>
          <cell r="M10">
            <v>79716.821129860502</v>
          </cell>
          <cell r="N10">
            <v>56589.144711608467</v>
          </cell>
          <cell r="O10">
            <v>3106.9438603337912</v>
          </cell>
          <cell r="P10">
            <v>233.93532916282129</v>
          </cell>
          <cell r="Q10">
            <v>2.4510146484580369E-2</v>
          </cell>
        </row>
        <row r="11">
          <cell r="A11" t="str">
            <v>0225</v>
          </cell>
          <cell r="B11" t="str">
            <v>Northwest Allen County Schools</v>
          </cell>
          <cell r="C11">
            <v>438</v>
          </cell>
          <cell r="D11">
            <v>2.3172518873963719E-3</v>
          </cell>
          <cell r="E11">
            <v>70482.12740676236</v>
          </cell>
          <cell r="F11">
            <v>-349.45242619286728</v>
          </cell>
          <cell r="G11">
            <v>7861</v>
          </cell>
          <cell r="H11">
            <v>6.8493389398990327E-3</v>
          </cell>
          <cell r="I11">
            <v>52082.812235453537</v>
          </cell>
          <cell r="J11">
            <v>83.652130201844557</v>
          </cell>
          <cell r="K11">
            <v>122299.13934622487</v>
          </cell>
          <cell r="M11">
            <v>66058.922710021143</v>
          </cell>
          <cell r="N11">
            <v>51960.13247649293</v>
          </cell>
          <cell r="O11">
            <v>4073.7522705483425</v>
          </cell>
          <cell r="P11">
            <v>206.33188916245126</v>
          </cell>
          <cell r="Q11">
            <v>3.626604324993677E-2</v>
          </cell>
        </row>
        <row r="12">
          <cell r="A12" t="str">
            <v>0235</v>
          </cell>
          <cell r="B12" t="str">
            <v>Fort Wayne Community Schools</v>
          </cell>
          <cell r="C12">
            <v>9416</v>
          </cell>
          <cell r="D12">
            <v>4.9815625049598716E-2</v>
          </cell>
          <cell r="E12">
            <v>1515204.8211462884</v>
          </cell>
          <cell r="F12">
            <v>6853.0377949674148</v>
          </cell>
          <cell r="G12">
            <v>38507</v>
          </cell>
          <cell r="H12">
            <v>3.3551392260360267E-2</v>
          </cell>
          <cell r="I12">
            <v>255126.93687197677</v>
          </cell>
          <cell r="J12">
            <v>727.15132059183088</v>
          </cell>
          <cell r="K12">
            <v>1777911.9471338245</v>
          </cell>
          <cell r="M12">
            <v>1408101.5275112535</v>
          </cell>
          <cell r="N12">
            <v>255426.58121918049</v>
          </cell>
          <cell r="O12">
            <v>113956.33143000235</v>
          </cell>
          <cell r="P12">
            <v>427.50697338811005</v>
          </cell>
          <cell r="Q12">
            <v>6.8759786987119528E-2</v>
          </cell>
        </row>
        <row r="13">
          <cell r="A13" t="str">
            <v>0255</v>
          </cell>
          <cell r="B13" t="str">
            <v>East Allen County Schools</v>
          </cell>
          <cell r="C13">
            <v>2596</v>
          </cell>
          <cell r="D13">
            <v>1.3734214382833291E-2</v>
          </cell>
          <cell r="E13">
            <v>417743.38526930386</v>
          </cell>
          <cell r="F13">
            <v>991.57736240047961</v>
          </cell>
          <cell r="G13">
            <v>14202</v>
          </cell>
          <cell r="H13">
            <v>1.2374292281445881E-2</v>
          </cell>
          <cell r="I13">
            <v>94094.911508448189</v>
          </cell>
          <cell r="J13">
            <v>12.759359516159748</v>
          </cell>
          <cell r="K13">
            <v>512842.63349966868</v>
          </cell>
          <cell r="M13">
            <v>384666.75907043117</v>
          </cell>
          <cell r="N13">
            <v>93850.783925732103</v>
          </cell>
          <cell r="O13">
            <v>34068.203561273171</v>
          </cell>
          <cell r="P13">
            <v>256.88694223224593</v>
          </cell>
          <cell r="Q13">
            <v>7.1732146513551406E-2</v>
          </cell>
        </row>
        <row r="14">
          <cell r="A14" t="str">
            <v>0365</v>
          </cell>
          <cell r="B14" t="str">
            <v>Bartholomew Con School Corp</v>
          </cell>
          <cell r="C14">
            <v>1545</v>
          </cell>
          <cell r="D14">
            <v>8.1738679589666539E-3</v>
          </cell>
          <cell r="E14">
            <v>248618.46311289462</v>
          </cell>
          <cell r="F14">
            <v>945.14085350872483</v>
          </cell>
          <cell r="G14">
            <v>13059</v>
          </cell>
          <cell r="H14">
            <v>1.1378389163737625E-2</v>
          </cell>
          <cell r="I14">
            <v>86522.000379441262</v>
          </cell>
          <cell r="J14">
            <v>286.62268845495419</v>
          </cell>
          <cell r="K14">
            <v>336372.22703429952</v>
          </cell>
          <cell r="M14">
            <v>294222.31908664526</v>
          </cell>
          <cell r="N14">
            <v>85969.132749127486</v>
          </cell>
          <cell r="O14">
            <v>-44658.715120241919</v>
          </cell>
          <cell r="P14">
            <v>839.4903187687305</v>
          </cell>
          <cell r="Q14">
            <v>-0.11525568128870324</v>
          </cell>
        </row>
        <row r="15">
          <cell r="A15" t="str">
            <v>0370</v>
          </cell>
          <cell r="B15" t="str">
            <v>Flat Rock-Hawcreek School Corp</v>
          </cell>
          <cell r="C15">
            <v>98</v>
          </cell>
          <cell r="D15">
            <v>5.1847188348138002E-4</v>
          </cell>
          <cell r="E15">
            <v>15769.973712015322</v>
          </cell>
          <cell r="F15">
            <v>-66.365993392642849</v>
          </cell>
          <cell r="G15">
            <v>1062</v>
          </cell>
          <cell r="H15">
            <v>9.2532730621711903E-4</v>
          </cell>
          <cell r="I15">
            <v>7036.2481356127282</v>
          </cell>
          <cell r="J15">
            <v>23.748566071800269</v>
          </cell>
          <cell r="K15">
            <v>22763.604420307209</v>
          </cell>
          <cell r="M15">
            <v>19157.111019721939</v>
          </cell>
          <cell r="N15">
            <v>6988.6770124117875</v>
          </cell>
          <cell r="O15">
            <v>-3453.5033010992593</v>
          </cell>
          <cell r="P15">
            <v>71.319689272741016</v>
          </cell>
          <cell r="Q15">
            <v>-0.12935864115741103</v>
          </cell>
        </row>
        <row r="16">
          <cell r="A16" t="str">
            <v>0395</v>
          </cell>
          <cell r="B16" t="str">
            <v>Benton Community School Corp</v>
          </cell>
          <cell r="C16">
            <v>299</v>
          </cell>
          <cell r="D16">
            <v>1.5818682975605369E-3</v>
          </cell>
          <cell r="E16">
            <v>48114.511631556947</v>
          </cell>
          <cell r="F16">
            <v>223.37275605918694</v>
          </cell>
          <cell r="G16">
            <v>2071</v>
          </cell>
          <cell r="H16">
            <v>1.8044753777548528E-3</v>
          </cell>
          <cell r="I16">
            <v>13721.346411350247</v>
          </cell>
          <cell r="J16">
            <v>49.356829044778351</v>
          </cell>
          <cell r="K16">
            <v>62108.587628011162</v>
          </cell>
          <cell r="M16">
            <v>47567.142590010801</v>
          </cell>
          <cell r="N16">
            <v>13708.024674906195</v>
          </cell>
          <cell r="O16">
            <v>770.74179760533298</v>
          </cell>
          <cell r="P16">
            <v>62.678565488829918</v>
          </cell>
          <cell r="Q16">
            <v>1.3601274387240009E-2</v>
          </cell>
        </row>
        <row r="17">
          <cell r="A17" t="str">
            <v>0515</v>
          </cell>
          <cell r="B17" t="str">
            <v>Blackford County Schools</v>
          </cell>
          <cell r="C17">
            <v>405</v>
          </cell>
          <cell r="D17">
            <v>2.1426644164281518E-3</v>
          </cell>
          <cell r="E17">
            <v>65171.830136389843</v>
          </cell>
          <cell r="F17">
            <v>-644.11179428883042</v>
          </cell>
          <cell r="G17">
            <v>1921</v>
          </cell>
          <cell r="H17">
            <v>1.673779430549045E-3</v>
          </cell>
          <cell r="I17">
            <v>12727.526053212856</v>
          </cell>
          <cell r="J17">
            <v>30.315948798484897</v>
          </cell>
          <cell r="K17">
            <v>77285.560344112353</v>
          </cell>
          <cell r="M17">
            <v>62110.213992324891</v>
          </cell>
          <cell r="N17">
            <v>12743.129314292742</v>
          </cell>
          <cell r="O17">
            <v>2417.5043497761217</v>
          </cell>
          <cell r="P17">
            <v>14.712687718598318</v>
          </cell>
          <cell r="Q17">
            <v>3.249309823786712E-2</v>
          </cell>
        </row>
        <row r="18">
          <cell r="A18" t="str">
            <v>0615</v>
          </cell>
          <cell r="B18" t="str">
            <v>Western Boone Co Com Sch Dist</v>
          </cell>
          <cell r="C18">
            <v>161</v>
          </cell>
          <cell r="D18">
            <v>8.5177523714798141E-4</v>
          </cell>
          <cell r="E18">
            <v>25907.813955453741</v>
          </cell>
          <cell r="F18">
            <v>416.00263169412938</v>
          </cell>
          <cell r="G18">
            <v>2047</v>
          </cell>
          <cell r="H18">
            <v>1.7835640262019235E-3</v>
          </cell>
          <cell r="I18">
            <v>13562.335154048264</v>
          </cell>
          <cell r="J18">
            <v>35.62135527452665</v>
          </cell>
          <cell r="K18">
            <v>39921.773096470657</v>
          </cell>
          <cell r="M18">
            <v>27741.936898270229</v>
          </cell>
          <cell r="N18">
            <v>13436.328888308537</v>
          </cell>
          <cell r="O18">
            <v>-1418.1203111223585</v>
          </cell>
          <cell r="P18">
            <v>161.62762101425324</v>
          </cell>
          <cell r="Q18">
            <v>-3.0513492156768636E-2</v>
          </cell>
        </row>
        <row r="19">
          <cell r="A19" t="str">
            <v>0630</v>
          </cell>
          <cell r="B19" t="str">
            <v>Zionsville Community Schools</v>
          </cell>
          <cell r="C19">
            <v>98</v>
          </cell>
          <cell r="D19">
            <v>5.1847188348138002E-4</v>
          </cell>
          <cell r="E19">
            <v>15769.973712015322</v>
          </cell>
          <cell r="F19">
            <v>539.80449353961376</v>
          </cell>
          <cell r="G19">
            <v>6683</v>
          </cell>
          <cell r="H19">
            <v>5.8229401011760896E-3</v>
          </cell>
          <cell r="I19">
            <v>44278.0096895479</v>
          </cell>
          <cell r="J19">
            <v>5.1650819747374044</v>
          </cell>
          <cell r="K19">
            <v>60592.952977077577</v>
          </cell>
          <cell r="M19">
            <v>21987.485458584808</v>
          </cell>
          <cell r="N19">
            <v>43792.274592678164</v>
          </cell>
          <cell r="O19">
            <v>-5677.7072530298719</v>
          </cell>
          <cell r="P19">
            <v>490.90017884447298</v>
          </cell>
          <cell r="Q19">
            <v>-7.8851109674818773E-2</v>
          </cell>
        </row>
        <row r="20">
          <cell r="A20" t="str">
            <v>0665</v>
          </cell>
          <cell r="B20" t="str">
            <v>Lebanon Community School Corp</v>
          </cell>
          <cell r="C20">
            <v>362</v>
          </cell>
          <cell r="D20">
            <v>1.9151716512271382E-3</v>
          </cell>
          <cell r="E20">
            <v>58252.351874995366</v>
          </cell>
          <cell r="F20">
            <v>1220.6239258335845</v>
          </cell>
          <cell r="G20">
            <v>4091</v>
          </cell>
          <cell r="H20">
            <v>3.5645141334597306E-3</v>
          </cell>
          <cell r="I20">
            <v>27104.793900933779</v>
          </cell>
          <cell r="J20">
            <v>48.351894214014465</v>
          </cell>
          <cell r="K20">
            <v>86626.121595976758</v>
          </cell>
          <cell r="M20">
            <v>67787.870772899783</v>
          </cell>
          <cell r="N20">
            <v>26929.139364228929</v>
          </cell>
          <cell r="O20">
            <v>-8314.8949720708333</v>
          </cell>
          <cell r="P20">
            <v>224.00643091886377</v>
          </cell>
          <cell r="Q20">
            <v>-8.542170545119826E-2</v>
          </cell>
        </row>
        <row r="21">
          <cell r="A21" t="str">
            <v>0670</v>
          </cell>
          <cell r="B21" t="str">
            <v>Brown County School Corporation</v>
          </cell>
          <cell r="C21">
            <v>313</v>
          </cell>
          <cell r="D21">
            <v>1.6559357094864484E-3</v>
          </cell>
          <cell r="E21">
            <v>50367.365018987715</v>
          </cell>
          <cell r="F21">
            <v>-1260.185754534883</v>
          </cell>
          <cell r="G21">
            <v>2135</v>
          </cell>
          <cell r="H21">
            <v>1.8602389818959974E-3</v>
          </cell>
          <cell r="I21">
            <v>14145.3764308222</v>
          </cell>
          <cell r="J21">
            <v>18.328191059190431</v>
          </cell>
          <cell r="K21">
            <v>63270.883886334224</v>
          </cell>
          <cell r="M21">
            <v>52438.452513504199</v>
          </cell>
          <cell r="N21">
            <v>14245.831598540019</v>
          </cell>
          <cell r="O21">
            <v>-3331.2732490513663</v>
          </cell>
          <cell r="P21">
            <v>-82.126976658628337</v>
          </cell>
          <cell r="Q21">
            <v>-5.1187476497081892E-2</v>
          </cell>
        </row>
        <row r="22">
          <cell r="A22" t="str">
            <v>0750</v>
          </cell>
          <cell r="B22" t="str">
            <v>Carroll Consolidated School Corp</v>
          </cell>
          <cell r="C22">
            <v>93</v>
          </cell>
          <cell r="D22">
            <v>4.9201923636498304E-4</v>
          </cell>
          <cell r="E22">
            <v>14965.383216504335</v>
          </cell>
          <cell r="F22">
            <v>364.67247904482065</v>
          </cell>
          <cell r="G22">
            <v>1086</v>
          </cell>
          <cell r="H22">
            <v>9.4623865777004835E-4</v>
          </cell>
          <cell r="I22">
            <v>7195.2593929147115</v>
          </cell>
          <cell r="J22">
            <v>29.683924329100591</v>
          </cell>
          <cell r="K22">
            <v>22554.999012792967</v>
          </cell>
          <cell r="M22">
            <v>15775.228431706922</v>
          </cell>
          <cell r="N22">
            <v>7279.0301514787916</v>
          </cell>
          <cell r="O22">
            <v>-445.17273615776685</v>
          </cell>
          <cell r="P22">
            <v>-54.086834234979506</v>
          </cell>
          <cell r="Q22">
            <v>-2.1655850201874372E-2</v>
          </cell>
        </row>
        <row r="23">
          <cell r="A23" t="str">
            <v>0755</v>
          </cell>
          <cell r="B23" t="str">
            <v>Delphi Community School Corp</v>
          </cell>
          <cell r="C23">
            <v>190</v>
          </cell>
          <cell r="D23">
            <v>1.0052005904230836E-3</v>
          </cell>
          <cell r="E23">
            <v>30574.438829417461</v>
          </cell>
          <cell r="F23">
            <v>1066.9545053120273</v>
          </cell>
          <cell r="G23">
            <v>1613</v>
          </cell>
          <cell r="H23">
            <v>1.4054170856197864E-3</v>
          </cell>
          <cell r="I23">
            <v>10686.881584504079</v>
          </cell>
          <cell r="J23">
            <v>56.698842429548677</v>
          </cell>
          <cell r="K23">
            <v>42384.973761663117</v>
          </cell>
          <cell r="M23">
            <v>36495.346025349645</v>
          </cell>
          <cell r="N23">
            <v>10785.202109251446</v>
          </cell>
          <cell r="O23">
            <v>-4853.9526906201572</v>
          </cell>
          <cell r="P23">
            <v>-41.62168231781834</v>
          </cell>
          <cell r="Q23">
            <v>-0.10354309681438044</v>
          </cell>
        </row>
        <row r="24">
          <cell r="A24" t="str">
            <v>0775</v>
          </cell>
          <cell r="B24" t="str">
            <v>Pioneer Regional School Corp</v>
          </cell>
          <cell r="C24">
            <v>107</v>
          </cell>
          <cell r="D24">
            <v>5.6608664829089442E-4</v>
          </cell>
          <cell r="E24">
            <v>17218.236603935093</v>
          </cell>
          <cell r="F24">
            <v>-42.733200595477683</v>
          </cell>
          <cell r="G24">
            <v>862</v>
          </cell>
          <cell r="H24">
            <v>7.5106604327604203E-4</v>
          </cell>
          <cell r="I24">
            <v>5711.1543247628742</v>
          </cell>
          <cell r="J24">
            <v>36.64320708734158</v>
          </cell>
          <cell r="K24">
            <v>22923.300935189829</v>
          </cell>
          <cell r="M24">
            <v>20133.974077632225</v>
          </cell>
          <cell r="N24">
            <v>5751.4562912637402</v>
          </cell>
          <cell r="O24">
            <v>-2958.4706742926101</v>
          </cell>
          <cell r="P24">
            <v>-3.6587594135244217</v>
          </cell>
          <cell r="Q24">
            <v>-0.11443230386717622</v>
          </cell>
        </row>
        <row r="25">
          <cell r="A25" t="str">
            <v>0815</v>
          </cell>
          <cell r="B25" t="str">
            <v xml:space="preserve">Lewis Cass Schools </v>
          </cell>
          <cell r="C25">
            <v>166</v>
          </cell>
          <cell r="D25">
            <v>8.7822788426437839E-4</v>
          </cell>
          <cell r="E25">
            <v>26712.404450964728</v>
          </cell>
          <cell r="F25">
            <v>420.04418735959189</v>
          </cell>
          <cell r="G25">
            <v>1368</v>
          </cell>
          <cell r="H25">
            <v>1.191947038516967E-3</v>
          </cell>
          <cell r="I25">
            <v>9063.6416662130068</v>
          </cell>
          <cell r="J25">
            <v>41.491253070509629</v>
          </cell>
          <cell r="K25">
            <v>36237.581557607838</v>
          </cell>
          <cell r="M25">
            <v>28699.208719048813</v>
          </cell>
          <cell r="N25">
            <v>9096.5596700120495</v>
          </cell>
          <cell r="O25">
            <v>-1566.7600807244926</v>
          </cell>
          <cell r="P25">
            <v>8.5732492714669206</v>
          </cell>
          <cell r="Q25">
            <v>-4.1226489045371753E-2</v>
          </cell>
        </row>
        <row r="26">
          <cell r="A26" t="str">
            <v>0875</v>
          </cell>
          <cell r="B26" t="str">
            <v>Logansport Community Sch Corp</v>
          </cell>
          <cell r="C26">
            <v>712</v>
          </cell>
          <cell r="D26">
            <v>3.766856949374924E-3</v>
          </cell>
          <cell r="E26">
            <v>114573.68656076437</v>
          </cell>
          <cell r="F26">
            <v>864.06802900029288</v>
          </cell>
          <cell r="G26">
            <v>3901</v>
          </cell>
          <cell r="H26">
            <v>3.3989659336657076E-3</v>
          </cell>
          <cell r="I26">
            <v>25845.954780626416</v>
          </cell>
          <cell r="J26">
            <v>177.097075990132</v>
          </cell>
          <cell r="K26">
            <v>141460.80644638123</v>
          </cell>
          <cell r="M26">
            <v>132250.97290375864</v>
          </cell>
          <cell r="N26">
            <v>26072.343863664439</v>
          </cell>
          <cell r="O26">
            <v>-16813.218313993973</v>
          </cell>
          <cell r="P26">
            <v>-49.292007047890365</v>
          </cell>
          <cell r="Q26">
            <v>-0.10650680307445105</v>
          </cell>
        </row>
        <row r="27">
          <cell r="A27" t="str">
            <v>0935</v>
          </cell>
          <cell r="B27" t="str">
            <v xml:space="preserve">Henryville/Borden </v>
          </cell>
          <cell r="C27">
            <v>201.62309999999999</v>
          </cell>
          <cell r="D27">
            <v>1.0666929429628022E-3</v>
          </cell>
          <cell r="E27">
            <v>32444.805987092204</v>
          </cell>
          <cell r="F27">
            <v>-63.071894750047448</v>
          </cell>
          <cell r="G27">
            <v>2048.9034000000001</v>
          </cell>
          <cell r="H27">
            <v>1.7852224706413338E-3</v>
          </cell>
          <cell r="I27">
            <v>13574.946071846121</v>
          </cell>
          <cell r="J27">
            <v>18.510860676268191</v>
          </cell>
          <cell r="K27">
            <v>45975.191024864544</v>
          </cell>
          <cell r="M27">
            <v>31900.836001076106</v>
          </cell>
          <cell r="N27">
            <v>13616.206148699081</v>
          </cell>
          <cell r="O27">
            <v>480.89809126605178</v>
          </cell>
          <cell r="P27">
            <v>-22.749216176691334</v>
          </cell>
          <cell r="Q27">
            <v>1.0065436009260176E-2</v>
          </cell>
        </row>
        <row r="28">
          <cell r="A28" t="str">
            <v>0945</v>
          </cell>
          <cell r="B28" t="str">
            <v>Silivercreek</v>
          </cell>
          <cell r="C28">
            <v>267.37689999999998</v>
          </cell>
          <cell r="D28">
            <v>1.4145653565552304E-3</v>
          </cell>
          <cell r="E28">
            <v>43025.782491838254</v>
          </cell>
          <cell r="F28">
            <v>-83.64104953943253</v>
          </cell>
          <cell r="G28">
            <v>2717.0965999999999</v>
          </cell>
          <cell r="H28">
            <v>2.3674234252445319E-3</v>
          </cell>
          <cell r="I28">
            <v>18002.039440705914</v>
          </cell>
          <cell r="J28">
            <v>24.547666135241904</v>
          </cell>
          <cell r="K28">
            <v>60968.728549139982</v>
          </cell>
          <cell r="M28">
            <v>42304.411733457746</v>
          </cell>
          <cell r="N28">
            <v>18056.755350949861</v>
          </cell>
          <cell r="O28">
            <v>637.72970884107781</v>
          </cell>
          <cell r="P28">
            <v>-30.168244108706858</v>
          </cell>
          <cell r="Q28">
            <v>1.0065436009260251E-2</v>
          </cell>
        </row>
        <row r="29">
          <cell r="A29" t="str">
            <v>1000</v>
          </cell>
          <cell r="B29" t="str">
            <v>Clarksville Community School Corp</v>
          </cell>
          <cell r="C29">
            <v>280</v>
          </cell>
          <cell r="D29">
            <v>1.4813482385182286E-3</v>
          </cell>
          <cell r="E29">
            <v>45057.067748615205</v>
          </cell>
          <cell r="F29">
            <v>233.61673391716613</v>
          </cell>
          <cell r="G29">
            <v>1395</v>
          </cell>
          <cell r="H29">
            <v>1.2154723090140123E-3</v>
          </cell>
          <cell r="I29">
            <v>9242.5293306777367</v>
          </cell>
          <cell r="J29">
            <v>86.544648986769971</v>
          </cell>
          <cell r="K29">
            <v>54619.758462196878</v>
          </cell>
          <cell r="M29">
            <v>49960.462230651581</v>
          </cell>
          <cell r="N29">
            <v>9306.9722408176731</v>
          </cell>
          <cell r="O29">
            <v>-4669.7777481192097</v>
          </cell>
          <cell r="P29">
            <v>22.101738846833541</v>
          </cell>
          <cell r="Q29">
            <v>-7.841871426895862E-2</v>
          </cell>
        </row>
        <row r="30">
          <cell r="A30" t="str">
            <v>1010</v>
          </cell>
          <cell r="B30" t="str">
            <v>Greater Clark County Schools</v>
          </cell>
          <cell r="C30">
            <v>1826</v>
          </cell>
          <cell r="D30">
            <v>9.6605067269081614E-3</v>
          </cell>
          <cell r="E30">
            <v>293836.448960612</v>
          </cell>
          <cell r="F30">
            <v>-2338.3074417379103</v>
          </cell>
          <cell r="G30">
            <v>12119</v>
          </cell>
          <cell r="H30">
            <v>1.0559361227914564E-2</v>
          </cell>
          <cell r="I30">
            <v>80294.059468446954</v>
          </cell>
          <cell r="J30">
            <v>258.57465484904242</v>
          </cell>
          <cell r="K30">
            <v>372050.77564217011</v>
          </cell>
          <cell r="M30">
            <v>293321.94645418139</v>
          </cell>
          <cell r="N30">
            <v>80510.689412154898</v>
          </cell>
          <cell r="O30">
            <v>-1823.8049353073002</v>
          </cell>
          <cell r="P30">
            <v>41.944711141099106</v>
          </cell>
          <cell r="Q30">
            <v>-4.7664651322826303E-3</v>
          </cell>
        </row>
        <row r="31">
          <cell r="A31" t="str">
            <v>1125</v>
          </cell>
          <cell r="B31" t="str">
            <v>Clay Community Schools</v>
          </cell>
          <cell r="C31">
            <v>950</v>
          </cell>
          <cell r="D31">
            <v>5.0260029521154185E-3</v>
          </cell>
          <cell r="E31">
            <v>152872.19414708731</v>
          </cell>
          <cell r="F31">
            <v>3834.0680131538538</v>
          </cell>
          <cell r="G31">
            <v>4236</v>
          </cell>
          <cell r="H31">
            <v>3.6908535490920119E-3</v>
          </cell>
          <cell r="I31">
            <v>28065.486913799923</v>
          </cell>
          <cell r="J31">
            <v>26.63084416858328</v>
          </cell>
          <cell r="K31">
            <v>184798.37991820968</v>
          </cell>
          <cell r="M31">
            <v>123146.722863146</v>
          </cell>
          <cell r="N31">
            <v>27952.488299484277</v>
          </cell>
          <cell r="O31">
            <v>33559.539297095165</v>
          </cell>
          <cell r="P31">
            <v>139.62945848422896</v>
          </cell>
          <cell r="Q31">
            <v>0.22302676828212215</v>
          </cell>
        </row>
        <row r="32">
          <cell r="A32" t="str">
            <v>1150</v>
          </cell>
          <cell r="B32" t="str">
            <v>Clinton Central School Corporation</v>
          </cell>
          <cell r="C32">
            <v>122</v>
          </cell>
          <cell r="D32">
            <v>6.4544458964008525E-4</v>
          </cell>
          <cell r="E32">
            <v>19632.008090468051</v>
          </cell>
          <cell r="F32">
            <v>-185.75235450146647</v>
          </cell>
          <cell r="G32">
            <v>1031</v>
          </cell>
          <cell r="H32">
            <v>8.9831681046125217E-4</v>
          </cell>
          <cell r="I32">
            <v>6830.8585949310018</v>
          </cell>
          <cell r="J32">
            <v>42.843199390735208</v>
          </cell>
          <cell r="K32">
            <v>26319.957530288324</v>
          </cell>
          <cell r="M32">
            <v>21420.800321395916</v>
          </cell>
          <cell r="N32">
            <v>6928.3992417838281</v>
          </cell>
          <cell r="O32">
            <v>-1974.5445854293321</v>
          </cell>
          <cell r="P32">
            <v>-54.697447462091077</v>
          </cell>
          <cell r="Q32">
            <v>-7.1580223221788072E-2</v>
          </cell>
        </row>
        <row r="33">
          <cell r="A33" t="str">
            <v>1160</v>
          </cell>
          <cell r="B33" t="str">
            <v>Clinton Prairie School Corporation</v>
          </cell>
          <cell r="C33">
            <v>100</v>
          </cell>
          <cell r="D33">
            <v>5.2905294232793879E-4</v>
          </cell>
          <cell r="E33">
            <v>16091.809910219716</v>
          </cell>
          <cell r="F33">
            <v>-211.40954032347508</v>
          </cell>
          <cell r="G33">
            <v>954</v>
          </cell>
          <cell r="H33">
            <v>8.3122622422893751E-4</v>
          </cell>
          <cell r="I33">
            <v>6320.6974777538071</v>
          </cell>
          <cell r="J33">
            <v>-5.9860771799030772</v>
          </cell>
          <cell r="K33">
            <v>22195.111770470143</v>
          </cell>
          <cell r="M33">
            <v>19965.297737904228</v>
          </cell>
          <cell r="N33">
            <v>6383.4924405450993</v>
          </cell>
          <cell r="O33">
            <v>-4084.8973680079871</v>
          </cell>
          <cell r="P33">
            <v>-68.781039971195241</v>
          </cell>
          <cell r="Q33">
            <v>-0.15764209209789357</v>
          </cell>
        </row>
        <row r="34">
          <cell r="A34" t="str">
            <v>1170</v>
          </cell>
          <cell r="B34" t="str">
            <v>Community Schools of Frankfort</v>
          </cell>
          <cell r="C34">
            <v>601</v>
          </cell>
          <cell r="D34">
            <v>3.1796081833909118E-3</v>
          </cell>
          <cell r="E34">
            <v>96711.77756042048</v>
          </cell>
          <cell r="F34">
            <v>-1171.9133049794764</v>
          </cell>
          <cell r="G34">
            <v>3369</v>
          </cell>
          <cell r="H34">
            <v>2.9354309742424425E-3</v>
          </cell>
          <cell r="I34">
            <v>22321.205243765802</v>
          </cell>
          <cell r="J34">
            <v>49.196604084099818</v>
          </cell>
          <cell r="K34">
            <v>117910.26610329089</v>
          </cell>
          <cell r="M34">
            <v>107655.20862876836</v>
          </cell>
          <cell r="N34">
            <v>22504.972554059648</v>
          </cell>
          <cell r="O34">
            <v>-12115.34437332736</v>
          </cell>
          <cell r="P34">
            <v>-134.57070620974628</v>
          </cell>
          <cell r="Q34">
            <v>-9.4114152025728995E-2</v>
          </cell>
        </row>
        <row r="35">
          <cell r="A35" t="str">
            <v>1180</v>
          </cell>
          <cell r="B35" t="str">
            <v>Rossville Con School District</v>
          </cell>
          <cell r="C35">
            <v>81</v>
          </cell>
          <cell r="D35">
            <v>4.2853288328563037E-4</v>
          </cell>
          <cell r="E35">
            <v>13034.366027277969</v>
          </cell>
          <cell r="F35">
            <v>-77.982764083233633</v>
          </cell>
          <cell r="G35">
            <v>1028</v>
          </cell>
          <cell r="H35">
            <v>8.95702891517136E-4</v>
          </cell>
          <cell r="I35">
            <v>6810.9821877682534</v>
          </cell>
          <cell r="J35">
            <v>18.108574606621914</v>
          </cell>
          <cell r="K35">
            <v>19785.474025569609</v>
          </cell>
          <cell r="M35">
            <v>16444.675164544173</v>
          </cell>
          <cell r="N35">
            <v>6870.5927820218421</v>
          </cell>
          <cell r="O35">
            <v>-3488.2919013494375</v>
          </cell>
          <cell r="P35">
            <v>-41.502019646966801</v>
          </cell>
          <cell r="Q35">
            <v>-0.15139409631002287</v>
          </cell>
        </row>
        <row r="36">
          <cell r="A36" t="str">
            <v>1300</v>
          </cell>
          <cell r="B36" t="str">
            <v>Crawford County Community Sch Corp</v>
          </cell>
          <cell r="C36">
            <v>422</v>
          </cell>
          <cell r="D36">
            <v>2.2326034166239017E-3</v>
          </cell>
          <cell r="E36">
            <v>67907.437821127198</v>
          </cell>
          <cell r="F36">
            <v>-597.2626322729775</v>
          </cell>
          <cell r="G36">
            <v>1761</v>
          </cell>
          <cell r="H36">
            <v>1.5343704201961834E-3</v>
          </cell>
          <cell r="I36">
            <v>11667.451004532972</v>
          </cell>
          <cell r="J36">
            <v>85.170621278191902</v>
          </cell>
          <cell r="K36">
            <v>79062.796814665373</v>
          </cell>
          <cell r="M36">
            <v>68511.931588428197</v>
          </cell>
          <cell r="N36">
            <v>11984.416846316783</v>
          </cell>
          <cell r="O36">
            <v>-1201.7563995739765</v>
          </cell>
          <cell r="P36">
            <v>-231.795220505619</v>
          </cell>
          <cell r="Q36">
            <v>-1.7808902490051653E-2</v>
          </cell>
        </row>
        <row r="37">
          <cell r="A37" t="str">
            <v>1315</v>
          </cell>
          <cell r="B37" t="str">
            <v>Barr-Reeve Community Schools Inc</v>
          </cell>
          <cell r="C37">
            <v>213</v>
          </cell>
          <cell r="D37">
            <v>1.1268827671585095E-3</v>
          </cell>
          <cell r="E37">
            <v>34275.555108767992</v>
          </cell>
          <cell r="F37">
            <v>316.75468377682409</v>
          </cell>
          <cell r="G37">
            <v>1457</v>
          </cell>
          <cell r="H37">
            <v>1.2694933005257462E-3</v>
          </cell>
          <cell r="I37">
            <v>9653.3084120411913</v>
          </cell>
          <cell r="J37">
            <v>17.962645819536192</v>
          </cell>
          <cell r="K37">
            <v>44263.580850405539</v>
          </cell>
          <cell r="M37">
            <v>39240.323842562546</v>
          </cell>
          <cell r="N37">
            <v>9622.0235233937619</v>
          </cell>
          <cell r="O37">
            <v>-4648.0140500177295</v>
          </cell>
          <cell r="P37">
            <v>49.24753446696559</v>
          </cell>
          <cell r="Q37">
            <v>-9.4116774233299449E-2</v>
          </cell>
        </row>
        <row r="38">
          <cell r="A38" t="str">
            <v>1375</v>
          </cell>
          <cell r="B38" t="str">
            <v>North Daviess Com Schools</v>
          </cell>
          <cell r="C38">
            <v>258</v>
          </cell>
          <cell r="D38">
            <v>1.364956591206082E-3</v>
          </cell>
          <cell r="E38">
            <v>41516.869568366863</v>
          </cell>
          <cell r="F38">
            <v>71.197948061388161</v>
          </cell>
          <cell r="G38">
            <v>2243</v>
          </cell>
          <cell r="H38">
            <v>1.9543400638841789E-3</v>
          </cell>
          <cell r="I38">
            <v>14860.927088681121</v>
          </cell>
          <cell r="J38">
            <v>5.165048783099337</v>
          </cell>
          <cell r="K38">
            <v>56454.159653892471</v>
          </cell>
          <cell r="M38">
            <v>51227.88884246548</v>
          </cell>
          <cell r="N38">
            <v>14755.203448914315</v>
          </cell>
          <cell r="O38">
            <v>-9639.8213260372286</v>
          </cell>
          <cell r="P38">
            <v>110.88868854990505</v>
          </cell>
          <cell r="Q38">
            <v>-0.14441476303365383</v>
          </cell>
        </row>
        <row r="39">
          <cell r="A39" t="str">
            <v>1405</v>
          </cell>
          <cell r="B39" t="str">
            <v>Washington Community Schools</v>
          </cell>
          <cell r="C39">
            <v>580</v>
          </cell>
          <cell r="D39">
            <v>3.0685070655020446E-3</v>
          </cell>
          <cell r="E39">
            <v>93332.497479274345</v>
          </cell>
          <cell r="F39">
            <v>686.9180189872568</v>
          </cell>
          <cell r="G39">
            <v>3284</v>
          </cell>
          <cell r="H39">
            <v>2.861369937492485E-3</v>
          </cell>
          <cell r="I39">
            <v>21758.040374154614</v>
          </cell>
          <cell r="J39">
            <v>80.548286359320628</v>
          </cell>
          <cell r="K39">
            <v>115858.00415877554</v>
          </cell>
          <cell r="M39">
            <v>107448.70771165667</v>
          </cell>
          <cell r="N39">
            <v>21696.299627896904</v>
          </cell>
          <cell r="O39">
            <v>-13429.292213395063</v>
          </cell>
          <cell r="P39">
            <v>142.2890326170309</v>
          </cell>
          <cell r="Q39">
            <v>-0.10288437357739487</v>
          </cell>
        </row>
        <row r="40">
          <cell r="A40" t="str">
            <v>1560</v>
          </cell>
          <cell r="B40" t="str">
            <v>Sunman-Dearborn Com Sch Corp</v>
          </cell>
          <cell r="C40">
            <v>319</v>
          </cell>
          <cell r="D40">
            <v>1.6876788860261246E-3</v>
          </cell>
          <cell r="E40">
            <v>51332.873613600888</v>
          </cell>
          <cell r="F40">
            <v>-46.192941559478641</v>
          </cell>
          <cell r="G40">
            <v>4390</v>
          </cell>
          <cell r="H40">
            <v>3.825034721556641E-3</v>
          </cell>
          <cell r="I40">
            <v>29085.809148154312</v>
          </cell>
          <cell r="J40">
            <v>91.401206191756501</v>
          </cell>
          <cell r="K40">
            <v>80463.891026387486</v>
          </cell>
          <cell r="M40">
            <v>53970.188748183973</v>
          </cell>
          <cell r="N40">
            <v>29717.150979370104</v>
          </cell>
          <cell r="O40">
            <v>-2683.5080761425634</v>
          </cell>
          <cell r="P40">
            <v>-539.9406250240354</v>
          </cell>
          <cell r="Q40">
            <v>-3.8517758022427344E-2</v>
          </cell>
        </row>
        <row r="41">
          <cell r="A41" t="str">
            <v>1600</v>
          </cell>
          <cell r="B41" t="str">
            <v>South Dearborn Community Sch Corp</v>
          </cell>
          <cell r="C41">
            <v>427</v>
          </cell>
          <cell r="D41">
            <v>2.2590560637402984E-3</v>
          </cell>
          <cell r="E41">
            <v>68712.028316638185</v>
          </cell>
          <cell r="F41">
            <v>-712.89371437884984</v>
          </cell>
          <cell r="G41">
            <v>2860</v>
          </cell>
          <cell r="H41">
            <v>2.4919360600574015E-3</v>
          </cell>
          <cell r="I41">
            <v>18948.841495152923</v>
          </cell>
          <cell r="J41">
            <v>67.532807620878884</v>
          </cell>
          <cell r="K41">
            <v>87015.508905033144</v>
          </cell>
          <cell r="M41">
            <v>76181.014338079476</v>
          </cell>
          <cell r="N41">
            <v>19355.026966716225</v>
          </cell>
          <cell r="O41">
            <v>-8181.8797358201409</v>
          </cell>
          <cell r="P41">
            <v>-338.65266394242281</v>
          </cell>
          <cell r="Q41">
            <v>-8.9186575907817645E-2</v>
          </cell>
        </row>
        <row r="42">
          <cell r="A42" t="str">
            <v>1620</v>
          </cell>
          <cell r="B42" t="str">
            <v>Lawrenceburg Community School Corp</v>
          </cell>
          <cell r="C42">
            <v>279</v>
          </cell>
          <cell r="D42">
            <v>1.4760577090949492E-3</v>
          </cell>
          <cell r="E42">
            <v>44896.149649513012</v>
          </cell>
          <cell r="F42">
            <v>-712.86369600130274</v>
          </cell>
          <cell r="G42">
            <v>1686</v>
          </cell>
          <cell r="H42">
            <v>1.4690224465932795E-3</v>
          </cell>
          <cell r="I42">
            <v>11170.540825464275</v>
          </cell>
          <cell r="J42">
            <v>73.286364428380693</v>
          </cell>
          <cell r="K42">
            <v>55427.113143404364</v>
          </cell>
          <cell r="M42">
            <v>41547.011390680338</v>
          </cell>
          <cell r="N42">
            <v>11529.370000763478</v>
          </cell>
          <cell r="O42">
            <v>2636.2745628313714</v>
          </cell>
          <cell r="P42">
            <v>-285.542810870822</v>
          </cell>
          <cell r="Q42">
            <v>4.4289600954964488E-2</v>
          </cell>
        </row>
        <row r="43">
          <cell r="A43" t="str">
            <v>1655</v>
          </cell>
          <cell r="B43" t="str">
            <v>Decatur County Community Schools</v>
          </cell>
          <cell r="C43">
            <v>271</v>
          </cell>
          <cell r="D43">
            <v>1.4337334737087139E-3</v>
          </cell>
          <cell r="E43">
            <v>43608.804856695424</v>
          </cell>
          <cell r="F43">
            <v>-574.99840763489192</v>
          </cell>
          <cell r="G43">
            <v>2300</v>
          </cell>
          <cell r="H43">
            <v>2.0040045238223858E-3</v>
          </cell>
          <cell r="I43">
            <v>15238.578824773329</v>
          </cell>
          <cell r="J43">
            <v>71.53530742235489</v>
          </cell>
          <cell r="K43">
            <v>58343.920581256214</v>
          </cell>
          <cell r="M43">
            <v>43591.337209272991</v>
          </cell>
          <cell r="N43">
            <v>15416.86673715528</v>
          </cell>
          <cell r="O43">
            <v>-557.53076021245943</v>
          </cell>
          <cell r="P43">
            <v>-106.75260495959628</v>
          </cell>
          <cell r="Q43">
            <v>-1.1257474736481355E-2</v>
          </cell>
        </row>
        <row r="44">
          <cell r="A44" t="str">
            <v>1730</v>
          </cell>
          <cell r="B44" t="str">
            <v>Greensburg Community Schools</v>
          </cell>
          <cell r="C44">
            <v>441</v>
          </cell>
          <cell r="D44">
            <v>2.3331234756662099E-3</v>
          </cell>
          <cell r="E44">
            <v>70964.881704068946</v>
          </cell>
          <cell r="F44">
            <v>-476.83765628954279</v>
          </cell>
          <cell r="G44">
            <v>2493</v>
          </cell>
          <cell r="H44">
            <v>2.1721666425605253E-3</v>
          </cell>
          <cell r="I44">
            <v>16517.29435224344</v>
          </cell>
          <cell r="J44">
            <v>90.562205215494032</v>
          </cell>
          <cell r="K44">
            <v>87095.900605238334</v>
          </cell>
          <cell r="M44">
            <v>71015.43222719444</v>
          </cell>
          <cell r="N44">
            <v>16672.780263120854</v>
          </cell>
          <cell r="O44">
            <v>-527.38817941503657</v>
          </cell>
          <cell r="P44">
            <v>-64.923705661920394</v>
          </cell>
          <cell r="Q44">
            <v>-6.754749221765409E-3</v>
          </cell>
        </row>
        <row r="45">
          <cell r="A45" t="str">
            <v>1805</v>
          </cell>
          <cell r="B45" t="str">
            <v>DeKalb Co Eastern Com Sch Dist</v>
          </cell>
          <cell r="C45">
            <v>194</v>
          </cell>
          <cell r="D45">
            <v>1.0263627081162012E-3</v>
          </cell>
          <cell r="E45">
            <v>31218.111225826247</v>
          </cell>
          <cell r="F45">
            <v>257.56665463200261</v>
          </cell>
          <cell r="G45">
            <v>1522</v>
          </cell>
          <cell r="H45">
            <v>1.3261282109815963E-3</v>
          </cell>
          <cell r="I45">
            <v>10083.963900567394</v>
          </cell>
          <cell r="J45">
            <v>41.743412949070262</v>
          </cell>
          <cell r="K45">
            <v>41601.385193974718</v>
          </cell>
          <cell r="M45">
            <v>29966.576583990904</v>
          </cell>
          <cell r="N45">
            <v>10141.881815191387</v>
          </cell>
          <cell r="O45">
            <v>1509.1012964673464</v>
          </cell>
          <cell r="P45">
            <v>-16.174501674922794</v>
          </cell>
          <cell r="Q45">
            <v>3.7222243246897282E-2</v>
          </cell>
        </row>
        <row r="46">
          <cell r="A46" t="str">
            <v>1820</v>
          </cell>
          <cell r="B46" t="str">
            <v>Garrett-Keyser-Butler Com Sch Corp</v>
          </cell>
          <cell r="C46">
            <v>247</v>
          </cell>
          <cell r="D46">
            <v>1.3067607675500087E-3</v>
          </cell>
          <cell r="E46">
            <v>39746.770478242695</v>
          </cell>
          <cell r="F46">
            <v>317.77431889287254</v>
          </cell>
          <cell r="G46">
            <v>1773</v>
          </cell>
          <cell r="H46">
            <v>1.544826095972648E-3</v>
          </cell>
          <cell r="I46">
            <v>11746.956633183963</v>
          </cell>
          <cell r="J46">
            <v>35.702465614453104</v>
          </cell>
          <cell r="K46">
            <v>51847.203895933984</v>
          </cell>
          <cell r="M46">
            <v>44007.494803244197</v>
          </cell>
          <cell r="N46">
            <v>11789.432616750402</v>
          </cell>
          <cell r="O46">
            <v>-3942.9500061086292</v>
          </cell>
          <cell r="P46">
            <v>-6.773517951985923</v>
          </cell>
          <cell r="Q46">
            <v>-7.0787473552625185E-2</v>
          </cell>
        </row>
        <row r="47">
          <cell r="A47" t="str">
            <v>1835</v>
          </cell>
          <cell r="B47" t="str">
            <v>DeKalb Co Ctl United Sch Dist</v>
          </cell>
          <cell r="C47">
            <v>399</v>
          </cell>
          <cell r="D47">
            <v>2.1109212398884758E-3</v>
          </cell>
          <cell r="E47">
            <v>64206.32154177667</v>
          </cell>
          <cell r="F47">
            <v>187.15126570823486</v>
          </cell>
          <cell r="G47">
            <v>4216</v>
          </cell>
          <cell r="H47">
            <v>3.6734274227979038E-3</v>
          </cell>
          <cell r="I47">
            <v>27932.977532714936</v>
          </cell>
          <cell r="J47">
            <v>214.24683909323721</v>
          </cell>
          <cell r="K47">
            <v>92540.697179293071</v>
          </cell>
          <cell r="M47">
            <v>73744.753390270649</v>
          </cell>
          <cell r="N47">
            <v>28100.418092435481</v>
          </cell>
          <cell r="O47">
            <v>-9351.2805827857446</v>
          </cell>
          <cell r="P47">
            <v>46.806279372693098</v>
          </cell>
          <cell r="Q47">
            <v>-9.1359012586993416E-2</v>
          </cell>
        </row>
        <row r="48">
          <cell r="A48" t="str">
            <v>1875</v>
          </cell>
          <cell r="B48" t="str">
            <v>Delaware Community School Corp</v>
          </cell>
          <cell r="C48">
            <v>382</v>
          </cell>
          <cell r="D48">
            <v>2.0209822396927259E-3</v>
          </cell>
          <cell r="E48">
            <v>61470.713857039307</v>
          </cell>
          <cell r="F48">
            <v>1131.9217191254502</v>
          </cell>
          <cell r="G48">
            <v>2365</v>
          </cell>
          <cell r="H48">
            <v>2.0606394342782362E-3</v>
          </cell>
          <cell r="I48">
            <v>15669.234313299534</v>
          </cell>
          <cell r="J48">
            <v>114.71921715628014</v>
          </cell>
          <cell r="K48">
            <v>78386.589106620566</v>
          </cell>
          <cell r="M48">
            <v>60708.813288695441</v>
          </cell>
          <cell r="N48">
            <v>16009.043107521891</v>
          </cell>
          <cell r="O48">
            <v>1893.8222874693165</v>
          </cell>
          <cell r="P48">
            <v>-225.08957706607725</v>
          </cell>
          <cell r="Q48">
            <v>2.1751555489049328E-2</v>
          </cell>
        </row>
        <row r="49">
          <cell r="A49" t="str">
            <v>1885</v>
          </cell>
          <cell r="B49" t="str">
            <v>Wes-Del Community Schools</v>
          </cell>
          <cell r="C49">
            <v>132</v>
          </cell>
          <cell r="D49">
            <v>6.983498838728792E-4</v>
          </cell>
          <cell r="E49">
            <v>21241.189081490025</v>
          </cell>
          <cell r="F49">
            <v>216.55097608684446</v>
          </cell>
          <cell r="G49">
            <v>756</v>
          </cell>
          <cell r="H49">
            <v>6.5870757391727126E-4</v>
          </cell>
          <cell r="I49">
            <v>5008.8546050124514</v>
          </cell>
          <cell r="J49">
            <v>78.968075491445234</v>
          </cell>
          <cell r="K49">
            <v>26545.562738080764</v>
          </cell>
          <cell r="M49">
            <v>20393.258254314547</v>
          </cell>
          <cell r="N49">
            <v>5112.5013591236675</v>
          </cell>
          <cell r="O49">
            <v>1064.4818032623225</v>
          </cell>
          <cell r="P49">
            <v>-24.678678619770835</v>
          </cell>
          <cell r="Q49">
            <v>4.0767385108370219E-2</v>
          </cell>
        </row>
        <row r="50">
          <cell r="A50" t="str">
            <v>1895</v>
          </cell>
          <cell r="B50" t="str">
            <v>Liberty-Perry Community Sch Corp</v>
          </cell>
          <cell r="C50">
            <v>131</v>
          </cell>
          <cell r="D50">
            <v>6.9305935444959976E-4</v>
          </cell>
          <cell r="E50">
            <v>21080.270982387829</v>
          </cell>
          <cell r="F50">
            <v>95.112204214317899</v>
          </cell>
          <cell r="G50">
            <v>969</v>
          </cell>
          <cell r="H50">
            <v>8.4429581894951823E-4</v>
          </cell>
          <cell r="I50">
            <v>6420.0795135675462</v>
          </cell>
          <cell r="J50">
            <v>5.9122505466475559</v>
          </cell>
          <cell r="K50">
            <v>27601.374950716341</v>
          </cell>
          <cell r="M50">
            <v>22178.28001266826</v>
          </cell>
          <cell r="N50">
            <v>6514.4493741919914</v>
          </cell>
          <cell r="O50">
            <v>-1002.8968260661131</v>
          </cell>
          <cell r="P50">
            <v>-88.457610077797654</v>
          </cell>
          <cell r="Q50">
            <v>-3.8035922669792901E-2</v>
          </cell>
        </row>
        <row r="51">
          <cell r="A51" t="str">
            <v>1900</v>
          </cell>
          <cell r="B51" t="str">
            <v>Cowan Community School Corp</v>
          </cell>
          <cell r="C51">
            <v>68</v>
          </cell>
          <cell r="D51">
            <v>3.5975600078299837E-4</v>
          </cell>
          <cell r="E51">
            <v>10942.430738949406</v>
          </cell>
          <cell r="F51">
            <v>198.40532298920334</v>
          </cell>
          <cell r="G51">
            <v>601</v>
          </cell>
          <cell r="H51">
            <v>5.2365509513793652E-4</v>
          </cell>
          <cell r="I51">
            <v>3981.9069016038138</v>
          </cell>
          <cell r="J51">
            <v>6.0475226130311057</v>
          </cell>
          <cell r="K51">
            <v>15128.790486155454</v>
          </cell>
          <cell r="M51">
            <v>11637.16850434664</v>
          </cell>
          <cell r="N51">
            <v>3987.896453948902</v>
          </cell>
          <cell r="O51">
            <v>-496.33244240803106</v>
          </cell>
          <cell r="P51">
            <v>5.7970267942891951E-2</v>
          </cell>
          <cell r="Q51">
            <v>-3.1761434174173452E-2</v>
          </cell>
        </row>
        <row r="52">
          <cell r="A52" t="str">
            <v>1910</v>
          </cell>
          <cell r="B52" t="str">
            <v>Yorktown Community Schools</v>
          </cell>
          <cell r="C52">
            <v>291</v>
          </cell>
          <cell r="D52">
            <v>1.5395440621743018E-3</v>
          </cell>
          <cell r="E52">
            <v>46827.166838739373</v>
          </cell>
          <cell r="F52">
            <v>7.5605612140570884</v>
          </cell>
          <cell r="G52">
            <v>2191</v>
          </cell>
          <cell r="H52">
            <v>1.909032135519499E-3</v>
          </cell>
          <cell r="I52">
            <v>14516.40269786016</v>
          </cell>
          <cell r="J52">
            <v>43.664984907136386</v>
          </cell>
          <cell r="K52">
            <v>61394.795082720724</v>
          </cell>
          <cell r="M52">
            <v>36389.182346364796</v>
          </cell>
          <cell r="N52">
            <v>14595.272375171116</v>
          </cell>
          <cell r="O52">
            <v>10445.545053588634</v>
          </cell>
          <cell r="P52">
            <v>-35.204692403820445</v>
          </cell>
          <cell r="Q52">
            <v>0.20418655878626998</v>
          </cell>
        </row>
        <row r="53">
          <cell r="A53" t="str">
            <v>1940</v>
          </cell>
          <cell r="B53" t="str">
            <v>Daleville Community Schools</v>
          </cell>
          <cell r="C53">
            <v>93</v>
          </cell>
          <cell r="D53">
            <v>4.9201923636498304E-4</v>
          </cell>
          <cell r="E53">
            <v>14965.383216504335</v>
          </cell>
          <cell r="F53">
            <v>52.001636398152186</v>
          </cell>
          <cell r="G53">
            <v>607</v>
          </cell>
          <cell r="H53">
            <v>5.2888293302616885E-4</v>
          </cell>
          <cell r="I53">
            <v>4021.6597159293096</v>
          </cell>
          <cell r="J53">
            <v>37.040422843200759</v>
          </cell>
          <cell r="K53">
            <v>19076.084991674998</v>
          </cell>
          <cell r="M53">
            <v>12126.251661164335</v>
          </cell>
          <cell r="N53">
            <v>4104.8761251215401</v>
          </cell>
          <cell r="O53">
            <v>2891.1331917381522</v>
          </cell>
          <cell r="P53">
            <v>-46.175986349029699</v>
          </cell>
          <cell r="Q53">
            <v>0.17527785147455402</v>
          </cell>
        </row>
        <row r="54">
          <cell r="A54" t="str">
            <v>1970</v>
          </cell>
          <cell r="B54" t="str">
            <v>Muncie Community Schools</v>
          </cell>
          <cell r="C54">
            <v>2407</v>
          </cell>
          <cell r="D54">
            <v>1.2734304321833485E-2</v>
          </cell>
          <cell r="E54">
            <v>387329.86453898851</v>
          </cell>
          <cell r="F54">
            <v>1797.4888081614044</v>
          </cell>
          <cell r="G54">
            <v>6774</v>
          </cell>
          <cell r="H54">
            <v>5.902228975814279E-3</v>
          </cell>
          <cell r="I54">
            <v>44880.927373484577</v>
          </cell>
          <cell r="J54">
            <v>130.3108909599905</v>
          </cell>
          <cell r="K54">
            <v>434138.59161159449</v>
          </cell>
          <cell r="M54">
            <v>339241.00265820581</v>
          </cell>
          <cell r="N54">
            <v>45041.862790911087</v>
          </cell>
          <cell r="O54">
            <v>49886.350688944105</v>
          </cell>
          <cell r="P54">
            <v>-30.624526466519455</v>
          </cell>
          <cell r="Q54">
            <v>0.12973705216913714</v>
          </cell>
        </row>
        <row r="55">
          <cell r="A55" t="str">
            <v>2040</v>
          </cell>
          <cell r="B55" t="str">
            <v>Northeast Dubois Co Sch Corp</v>
          </cell>
          <cell r="C55">
            <v>74</v>
          </cell>
          <cell r="D55">
            <v>3.9149917732267468E-4</v>
          </cell>
          <cell r="E55">
            <v>11907.93933356259</v>
          </cell>
          <cell r="F55">
            <v>-251.08677036107292</v>
          </cell>
          <cell r="G55">
            <v>973</v>
          </cell>
          <cell r="H55">
            <v>8.4778104420833982E-4</v>
          </cell>
          <cell r="I55">
            <v>6446.5813897845437</v>
          </cell>
          <cell r="J55">
            <v>11.868071345059434</v>
          </cell>
          <cell r="K55">
            <v>18115.302024331118</v>
          </cell>
          <cell r="M55">
            <v>10711.061278439805</v>
          </cell>
          <cell r="N55">
            <v>6500.5620940036797</v>
          </cell>
          <cell r="O55">
            <v>945.79128476171172</v>
          </cell>
          <cell r="P55">
            <v>-42.112632874076553</v>
          </cell>
          <cell r="Q55">
            <v>5.25039755014894E-2</v>
          </cell>
        </row>
        <row r="56">
          <cell r="A56" t="str">
            <v>2100</v>
          </cell>
          <cell r="B56" t="str">
            <v>Southeast Dubois Co Sch Corp</v>
          </cell>
          <cell r="C56">
            <v>114</v>
          </cell>
          <cell r="D56">
            <v>6.0312035425385017E-4</v>
          </cell>
          <cell r="E56">
            <v>18344.663297650477</v>
          </cell>
          <cell r="F56">
            <v>-81.435985418422206</v>
          </cell>
          <cell r="G56">
            <v>1287</v>
          </cell>
          <cell r="H56">
            <v>1.1213712270258308E-3</v>
          </cell>
          <cell r="I56">
            <v>8526.9786728188155</v>
          </cell>
          <cell r="J56">
            <v>11.447630678599126</v>
          </cell>
          <cell r="K56">
            <v>26801.653615729469</v>
          </cell>
          <cell r="M56">
            <v>15646.863388948053</v>
          </cell>
          <cell r="N56">
            <v>8636.5821929077938</v>
          </cell>
          <cell r="O56">
            <v>2616.3639232840014</v>
          </cell>
          <cell r="P56">
            <v>-98.155889410380041</v>
          </cell>
          <cell r="Q56">
            <v>0.1037006064639847</v>
          </cell>
        </row>
        <row r="57">
          <cell r="A57" t="str">
            <v>2110</v>
          </cell>
          <cell r="B57" t="str">
            <v>Southwest Dubois Co Sch Corp</v>
          </cell>
          <cell r="C57">
            <v>205</v>
          </cell>
          <cell r="D57">
            <v>1.0845585317722744E-3</v>
          </cell>
          <cell r="E57">
            <v>32988.210315950419</v>
          </cell>
          <cell r="F57">
            <v>-1075.4593617356586</v>
          </cell>
          <cell r="G57">
            <v>1711</v>
          </cell>
          <cell r="H57">
            <v>1.4908051044609141E-3</v>
          </cell>
          <cell r="I57">
            <v>11336.177551820507</v>
          </cell>
          <cell r="J57">
            <v>18.175289151813558</v>
          </cell>
          <cell r="K57">
            <v>43267.103795187082</v>
          </cell>
          <cell r="M57">
            <v>26250.474904840441</v>
          </cell>
          <cell r="N57">
            <v>11447.801457504611</v>
          </cell>
          <cell r="O57">
            <v>5662.276049374319</v>
          </cell>
          <cell r="P57">
            <v>-93.448616532290544</v>
          </cell>
          <cell r="Q57">
            <v>0.14772100929273402</v>
          </cell>
        </row>
        <row r="58">
          <cell r="A58" t="str">
            <v>2120</v>
          </cell>
          <cell r="B58" t="str">
            <v>Greater Jasper Consolidated Schs</v>
          </cell>
          <cell r="C58">
            <v>320</v>
          </cell>
          <cell r="D58">
            <v>1.6929694154494039E-3</v>
          </cell>
          <cell r="E58">
            <v>51493.791712703089</v>
          </cell>
          <cell r="F58">
            <v>-85.588901283925225</v>
          </cell>
          <cell r="G58">
            <v>3429</v>
          </cell>
          <cell r="H58">
            <v>2.9877093531247658E-3</v>
          </cell>
          <cell r="I58">
            <v>22718.733387020759</v>
          </cell>
          <cell r="J58">
            <v>49.179146659596881</v>
          </cell>
          <cell r="K58">
            <v>74176.115345099504</v>
          </cell>
          <cell r="M58">
            <v>49323.51317374612</v>
          </cell>
          <cell r="N58">
            <v>22941.503318343064</v>
          </cell>
          <cell r="O58">
            <v>2084.6896376730438</v>
          </cell>
          <cell r="P58">
            <v>-173.59078466270876</v>
          </cell>
          <cell r="Q58">
            <v>2.6445698704289953E-2</v>
          </cell>
        </row>
        <row r="59">
          <cell r="A59" t="str">
            <v>2155</v>
          </cell>
          <cell r="B59" t="str">
            <v>Fairfield Community Schools</v>
          </cell>
          <cell r="C59">
            <v>218</v>
          </cell>
          <cell r="D59">
            <v>1.1533354142749064E-3</v>
          </cell>
          <cell r="E59">
            <v>35080.14560427898</v>
          </cell>
          <cell r="F59">
            <v>268.21711429019342</v>
          </cell>
          <cell r="G59">
            <v>3015</v>
          </cell>
          <cell r="H59">
            <v>2.6269885388367363E-3</v>
          </cell>
          <cell r="I59">
            <v>19975.789198561561</v>
          </cell>
          <cell r="J59">
            <v>12.376923508378241</v>
          </cell>
          <cell r="K59">
            <v>55336.528840639105</v>
          </cell>
          <cell r="M59">
            <v>27911.894802570667</v>
          </cell>
          <cell r="N59">
            <v>20007.608351130202</v>
          </cell>
          <cell r="O59">
            <v>7436.4679159985062</v>
          </cell>
          <cell r="P59">
            <v>-19.442229060263344</v>
          </cell>
          <cell r="Q59">
            <v>0.15478093884129554</v>
          </cell>
        </row>
        <row r="60">
          <cell r="A60" t="str">
            <v>2260</v>
          </cell>
          <cell r="B60" t="str">
            <v>Baugo Community Schools</v>
          </cell>
          <cell r="C60">
            <v>182</v>
          </cell>
          <cell r="D60">
            <v>9.6287635503684854E-4</v>
          </cell>
          <cell r="E60">
            <v>29287.094036599883</v>
          </cell>
          <cell r="F60">
            <v>-7.8313720361184096</v>
          </cell>
          <cell r="G60">
            <v>2014</v>
          </cell>
          <cell r="H60">
            <v>1.7548109178166457E-3</v>
          </cell>
          <cell r="I60">
            <v>13343.694675258037</v>
          </cell>
          <cell r="J60">
            <v>18.991908182813859</v>
          </cell>
          <cell r="K60">
            <v>42641.949248004617</v>
          </cell>
          <cell r="M60">
            <v>28271.333159653102</v>
          </cell>
          <cell r="N60">
            <v>13399.856340230101</v>
          </cell>
          <cell r="O60">
            <v>1007.9295049106622</v>
          </cell>
          <cell r="P60">
            <v>-37.169756789249732</v>
          </cell>
          <cell r="Q60">
            <v>2.3295705252765427E-2</v>
          </cell>
        </row>
        <row r="61">
          <cell r="A61" t="str">
            <v>2270</v>
          </cell>
          <cell r="B61" t="str">
            <v>Concord Community Schools</v>
          </cell>
          <cell r="C61">
            <v>683</v>
          </cell>
          <cell r="D61">
            <v>3.6134315960998217E-3</v>
          </cell>
          <cell r="E61">
            <v>109907.06168680066</v>
          </cell>
          <cell r="F61">
            <v>761.64271118892066</v>
          </cell>
          <cell r="G61">
            <v>5076</v>
          </cell>
          <cell r="H61">
            <v>4.4227508534445351E-3</v>
          </cell>
          <cell r="I61">
            <v>33630.880919369309</v>
          </cell>
          <cell r="J61">
            <v>78.047850978320639</v>
          </cell>
          <cell r="K61">
            <v>144377.63316833723</v>
          </cell>
          <cell r="M61">
            <v>108317.79095811927</v>
          </cell>
          <cell r="N61">
            <v>33837.776996390756</v>
          </cell>
          <cell r="O61">
            <v>2350.9134398703172</v>
          </cell>
          <cell r="P61">
            <v>-128.84822604312649</v>
          </cell>
          <cell r="Q61">
            <v>1.5631221807212325E-2</v>
          </cell>
        </row>
        <row r="62">
          <cell r="A62" t="str">
            <v>2275</v>
          </cell>
          <cell r="B62" t="str">
            <v>Middlebury Community Schools</v>
          </cell>
          <cell r="C62">
            <v>440</v>
          </cell>
          <cell r="D62">
            <v>2.3278329462429305E-3</v>
          </cell>
          <cell r="E62">
            <v>70803.963604966746</v>
          </cell>
          <cell r="F62">
            <v>289.52868614027102</v>
          </cell>
          <cell r="G62">
            <v>5339</v>
          </cell>
          <cell r="H62">
            <v>4.6519044142120519E-3</v>
          </cell>
          <cell r="I62">
            <v>35373.379280636873</v>
          </cell>
          <cell r="J62">
            <v>62.562260122162115</v>
          </cell>
          <cell r="K62">
            <v>106529.43383186604</v>
          </cell>
          <cell r="M62">
            <v>58436.574858040578</v>
          </cell>
          <cell r="N62">
            <v>35555.255558375124</v>
          </cell>
          <cell r="O62">
            <v>12656.917433066439</v>
          </cell>
          <cell r="P62">
            <v>-119.31401761608868</v>
          </cell>
          <cell r="Q62">
            <v>0.1333903527562397</v>
          </cell>
        </row>
        <row r="63">
          <cell r="A63" t="str">
            <v>2285</v>
          </cell>
          <cell r="B63" t="str">
            <v>Wa-Nee Community Schools</v>
          </cell>
          <cell r="C63">
            <v>450</v>
          </cell>
          <cell r="D63">
            <v>2.3807382404757243E-3</v>
          </cell>
          <cell r="E63">
            <v>72413.144595988721</v>
          </cell>
          <cell r="F63">
            <v>780.31049796460138</v>
          </cell>
          <cell r="G63">
            <v>4508</v>
          </cell>
          <cell r="H63">
            <v>3.9278488666918765E-3</v>
          </cell>
          <cell r="I63">
            <v>29867.614496555725</v>
          </cell>
          <cell r="J63">
            <v>41.607194122592773</v>
          </cell>
          <cell r="K63">
            <v>103102.67678463165</v>
          </cell>
          <cell r="M63">
            <v>73543.554068266079</v>
          </cell>
          <cell r="N63">
            <v>30004.689684075245</v>
          </cell>
          <cell r="O63">
            <v>-350.09897431275749</v>
          </cell>
          <cell r="P63">
            <v>-95.467993396927341</v>
          </cell>
          <cell r="Q63">
            <v>-4.3029891339862554E-3</v>
          </cell>
        </row>
        <row r="64">
          <cell r="A64" t="str">
            <v>2305</v>
          </cell>
          <cell r="B64" t="str">
            <v>Elkhart Community Schools</v>
          </cell>
          <cell r="C64">
            <v>2909</v>
          </cell>
          <cell r="D64">
            <v>1.5390150092319739E-2</v>
          </cell>
          <cell r="E64">
            <v>468110.75028829154</v>
          </cell>
          <cell r="F64">
            <v>4022.7144737219205</v>
          </cell>
          <cell r="G64">
            <v>14716</v>
          </cell>
          <cell r="H64">
            <v>1.2822143727204449E-2</v>
          </cell>
          <cell r="I64">
            <v>97500.402602332309</v>
          </cell>
          <cell r="J64">
            <v>381.82783072548045</v>
          </cell>
          <cell r="K64">
            <v>570015.69519507128</v>
          </cell>
          <cell r="M64">
            <v>418519.00808707683</v>
          </cell>
          <cell r="N64">
            <v>98069.413988365806</v>
          </cell>
          <cell r="O64">
            <v>53614.456674936635</v>
          </cell>
          <cell r="P64">
            <v>-187.18355530801637</v>
          </cell>
          <cell r="Q64">
            <v>0.10342328793390204</v>
          </cell>
        </row>
        <row r="65">
          <cell r="A65" t="str">
            <v>2315</v>
          </cell>
          <cell r="B65" t="str">
            <v>Goshen Community Schools</v>
          </cell>
          <cell r="C65">
            <v>991</v>
          </cell>
          <cell r="D65">
            <v>5.2429146584698728E-3</v>
          </cell>
          <cell r="E65">
            <v>159469.83621027737</v>
          </cell>
          <cell r="F65">
            <v>906.74119675680413</v>
          </cell>
          <cell r="G65">
            <v>6986</v>
          </cell>
          <cell r="H65">
            <v>6.0869459145318208E-3</v>
          </cell>
          <cell r="I65">
            <v>46285.526812985423</v>
          </cell>
          <cell r="J65">
            <v>220.45198902065022</v>
          </cell>
          <cell r="K65">
            <v>206882.55620904025</v>
          </cell>
          <cell r="M65">
            <v>142143.6921443507</v>
          </cell>
          <cell r="N65">
            <v>46646.693930958318</v>
          </cell>
          <cell r="O65">
            <v>18232.885262683471</v>
          </cell>
          <cell r="P65">
            <v>-140.71512895224441</v>
          </cell>
          <cell r="Q65">
            <v>9.5832052202669937E-2</v>
          </cell>
        </row>
        <row r="66">
          <cell r="A66" t="str">
            <v>2395</v>
          </cell>
          <cell r="B66" t="str">
            <v>Fayette County School Corporation</v>
          </cell>
          <cell r="C66">
            <v>718</v>
          </cell>
          <cell r="D66">
            <v>3.7986001259146004E-3</v>
          </cell>
          <cell r="E66">
            <v>115539.19515537756</v>
          </cell>
          <cell r="F66">
            <v>-1973.3611556656979</v>
          </cell>
          <cell r="G66">
            <v>3751</v>
          </cell>
          <cell r="H66">
            <v>3.2682699864598997E-3</v>
          </cell>
          <cell r="I66">
            <v>24852.134422489024</v>
          </cell>
          <cell r="J66">
            <v>55.303769015048601</v>
          </cell>
          <cell r="K66">
            <v>138473.27219121592</v>
          </cell>
          <cell r="M66">
            <v>114956.21803154366</v>
          </cell>
          <cell r="N66">
            <v>25196.512719193859</v>
          </cell>
          <cell r="O66">
            <v>-1390.3840318317962</v>
          </cell>
          <cell r="P66">
            <v>-289.07452768978692</v>
          </cell>
          <cell r="Q66">
            <v>-1.1983059841399099E-2</v>
          </cell>
        </row>
        <row r="67">
          <cell r="A67" t="str">
            <v>2400</v>
          </cell>
          <cell r="B67" t="str">
            <v>New Albany-Floyd Co Con Sch</v>
          </cell>
          <cell r="C67">
            <v>1919</v>
          </cell>
          <cell r="D67">
            <v>1.0152525963273144E-2</v>
          </cell>
          <cell r="E67">
            <v>308801.8321771163</v>
          </cell>
          <cell r="F67">
            <v>7423.7593814023421</v>
          </cell>
          <cell r="G67">
            <v>12553</v>
          </cell>
          <cell r="H67">
            <v>1.09375081684967E-2</v>
          </cell>
          <cell r="I67">
            <v>83169.513037991128</v>
          </cell>
          <cell r="J67">
            <v>166.72899823944317</v>
          </cell>
          <cell r="K67">
            <v>399561.83359474922</v>
          </cell>
          <cell r="M67">
            <v>293233.96720448608</v>
          </cell>
          <cell r="N67">
            <v>84010.445034142263</v>
          </cell>
          <cell r="O67">
            <v>22991.624354032567</v>
          </cell>
          <cell r="P67">
            <v>-674.20299791169236</v>
          </cell>
          <cell r="Q67">
            <v>5.9159050822478042E-2</v>
          </cell>
        </row>
        <row r="68">
          <cell r="A68" t="str">
            <v>2435</v>
          </cell>
          <cell r="B68" t="str">
            <v>Attica Consolidated School Corp</v>
          </cell>
          <cell r="C68">
            <v>146</v>
          </cell>
          <cell r="D68">
            <v>7.7241729579879059E-4</v>
          </cell>
          <cell r="E68">
            <v>23494.042468920783</v>
          </cell>
          <cell r="F68">
            <v>-179.96183689731697</v>
          </cell>
          <cell r="G68">
            <v>796</v>
          </cell>
          <cell r="H68">
            <v>6.9355982650548661E-4</v>
          </cell>
          <cell r="I68">
            <v>5273.873367182422</v>
          </cell>
          <cell r="J68">
            <v>6.5917290215047615</v>
          </cell>
          <cell r="K68">
            <v>28594.545728227393</v>
          </cell>
          <cell r="M68">
            <v>27304.844140530971</v>
          </cell>
          <cell r="N68">
            <v>5324.5427934634317</v>
          </cell>
          <cell r="O68">
            <v>-3990.7635085075053</v>
          </cell>
          <cell r="P68">
            <v>-44.07769725950493</v>
          </cell>
          <cell r="Q68">
            <v>-0.12365666611907365</v>
          </cell>
        </row>
        <row r="69">
          <cell r="A69" t="str">
            <v>2440</v>
          </cell>
          <cell r="B69" t="str">
            <v>Covington Community School Corp</v>
          </cell>
          <cell r="C69">
            <v>94</v>
          </cell>
          <cell r="D69">
            <v>4.9730976578826248E-4</v>
          </cell>
          <cell r="E69">
            <v>15126.301315606534</v>
          </cell>
          <cell r="F69">
            <v>-216.88444328941841</v>
          </cell>
          <cell r="G69">
            <v>831</v>
          </cell>
          <cell r="H69">
            <v>7.2405554752017506E-4</v>
          </cell>
          <cell r="I69">
            <v>5505.764784081146</v>
          </cell>
          <cell r="J69">
            <v>17.559037102677394</v>
          </cell>
          <cell r="K69">
            <v>20432.740693500939</v>
          </cell>
          <cell r="M69">
            <v>18688.849148120789</v>
          </cell>
          <cell r="N69">
            <v>5619.9278823543091</v>
          </cell>
          <cell r="O69">
            <v>-3779.4322758036742</v>
          </cell>
          <cell r="P69">
            <v>-96.604061170485693</v>
          </cell>
          <cell r="Q69">
            <v>-0.15945007567081235</v>
          </cell>
        </row>
        <row r="70">
          <cell r="A70" t="str">
            <v>2455</v>
          </cell>
          <cell r="B70" t="str">
            <v>Southeast Fountain School Corp</v>
          </cell>
          <cell r="C70">
            <v>161</v>
          </cell>
          <cell r="D70">
            <v>8.5177523714798141E-4</v>
          </cell>
          <cell r="E70">
            <v>25907.813955453741</v>
          </cell>
          <cell r="F70">
            <v>-1368.9581022232269</v>
          </cell>
          <cell r="G70">
            <v>1105</v>
          </cell>
          <cell r="H70">
            <v>9.6279347774945066E-4</v>
          </cell>
          <cell r="I70">
            <v>7321.1433049454472</v>
          </cell>
          <cell r="J70">
            <v>11.507703788361141</v>
          </cell>
          <cell r="K70">
            <v>31871.506861964321</v>
          </cell>
          <cell r="M70">
            <v>27069.078140318179</v>
          </cell>
          <cell r="N70">
            <v>7446.0562068141398</v>
          </cell>
          <cell r="O70">
            <v>-2530.2222870876649</v>
          </cell>
          <cell r="P70">
            <v>-113.4051980803315</v>
          </cell>
          <cell r="Q70">
            <v>-7.6593283936837453E-2</v>
          </cell>
        </row>
        <row r="71">
          <cell r="A71" t="str">
            <v>2475</v>
          </cell>
          <cell r="B71" t="str">
            <v>Franklin County Community Sch Corp</v>
          </cell>
          <cell r="C71">
            <v>332</v>
          </cell>
          <cell r="D71">
            <v>1.7564557685287568E-3</v>
          </cell>
          <cell r="E71">
            <v>53424.808901929457</v>
          </cell>
          <cell r="F71">
            <v>22.633142511702317</v>
          </cell>
          <cell r="G71">
            <v>2836</v>
          </cell>
          <cell r="H71">
            <v>2.4710247085044726E-3</v>
          </cell>
          <cell r="I71">
            <v>18789.83023785094</v>
          </cell>
          <cell r="J71">
            <v>118.54043361073491</v>
          </cell>
          <cell r="K71">
            <v>72355.812715902837</v>
          </cell>
          <cell r="M71">
            <v>56422.090495037955</v>
          </cell>
          <cell r="N71">
            <v>19267.132885799019</v>
          </cell>
          <cell r="O71">
            <v>-2974.6484505967965</v>
          </cell>
          <cell r="P71">
            <v>-358.76221433734463</v>
          </cell>
          <cell r="Q71">
            <v>-4.4040756610248095E-2</v>
          </cell>
        </row>
        <row r="72">
          <cell r="A72" t="str">
            <v>2645</v>
          </cell>
          <cell r="B72" t="str">
            <v>Rochester Community School Corp</v>
          </cell>
          <cell r="C72">
            <v>404</v>
          </cell>
          <cell r="D72">
            <v>2.1373738870048725E-3</v>
          </cell>
          <cell r="E72">
            <v>65010.91203728765</v>
          </cell>
          <cell r="F72">
            <v>1811.293658515322</v>
          </cell>
          <cell r="G72">
            <v>1817</v>
          </cell>
          <cell r="H72">
            <v>1.583163573819685E-3</v>
          </cell>
          <cell r="I72">
            <v>12038.477271570931</v>
          </cell>
          <cell r="J72">
            <v>65.749430149526233</v>
          </cell>
          <cell r="K72">
            <v>78926.432397523429</v>
          </cell>
          <cell r="M72">
            <v>55033.316793997838</v>
          </cell>
          <cell r="N72">
            <v>12342.014573935865</v>
          </cell>
          <cell r="O72">
            <v>11788.888901805134</v>
          </cell>
          <cell r="P72">
            <v>-237.78787221540733</v>
          </cell>
          <cell r="Q72">
            <v>0.17144407003372905</v>
          </cell>
        </row>
        <row r="73">
          <cell r="A73" t="str">
            <v>2650</v>
          </cell>
          <cell r="B73" t="str">
            <v>Caston School Corporation</v>
          </cell>
          <cell r="C73">
            <v>93</v>
          </cell>
          <cell r="D73">
            <v>4.9201923636498304E-4</v>
          </cell>
          <cell r="E73">
            <v>14965.383216504335</v>
          </cell>
          <cell r="F73">
            <v>72.54381999578618</v>
          </cell>
          <cell r="G73">
            <v>763</v>
          </cell>
          <cell r="H73">
            <v>6.648067181202089E-4</v>
          </cell>
          <cell r="I73">
            <v>5055.2328883921955</v>
          </cell>
          <cell r="J73">
            <v>23.84517796243199</v>
          </cell>
          <cell r="K73">
            <v>20117.005102854746</v>
          </cell>
          <cell r="M73">
            <v>16912.945170327566</v>
          </cell>
          <cell r="N73">
            <v>5149.9795995326976</v>
          </cell>
          <cell r="O73">
            <v>-1875.0181338274451</v>
          </cell>
          <cell r="P73">
            <v>-70.901533178070167</v>
          </cell>
          <cell r="Q73">
            <v>-8.8198626759757565E-2</v>
          </cell>
        </row>
        <row r="74">
          <cell r="A74" t="str">
            <v>2725</v>
          </cell>
          <cell r="B74" t="str">
            <v>East Gibson School Corporation</v>
          </cell>
          <cell r="C74">
            <v>131</v>
          </cell>
          <cell r="D74">
            <v>6.9305935444959976E-4</v>
          </cell>
          <cell r="E74">
            <v>21080.270982387829</v>
          </cell>
          <cell r="F74">
            <v>555.52066296945486</v>
          </cell>
          <cell r="G74">
            <v>1057</v>
          </cell>
          <cell r="H74">
            <v>9.2097077464359212E-4</v>
          </cell>
          <cell r="I74">
            <v>7003.1207903414825</v>
          </cell>
          <cell r="J74">
            <v>6.1919774896350646</v>
          </cell>
          <cell r="K74">
            <v>28645.104413188401</v>
          </cell>
          <cell r="M74">
            <v>25657.250977614942</v>
          </cell>
          <cell r="N74">
            <v>7063.7215617676648</v>
          </cell>
          <cell r="O74">
            <v>-4021.4593322576584</v>
          </cell>
          <cell r="P74">
            <v>-54.408793936547227</v>
          </cell>
          <cell r="Q74">
            <v>-0.12456439432808834</v>
          </cell>
        </row>
        <row r="75">
          <cell r="A75" t="str">
            <v>2735</v>
          </cell>
          <cell r="B75" t="str">
            <v>North Gibson School Corporation</v>
          </cell>
          <cell r="C75">
            <v>327</v>
          </cell>
          <cell r="D75">
            <v>1.7300031214123597E-3</v>
          </cell>
          <cell r="E75">
            <v>52620.218406418469</v>
          </cell>
          <cell r="F75">
            <v>1354.3170951796928</v>
          </cell>
          <cell r="G75">
            <v>2393</v>
          </cell>
          <cell r="H75">
            <v>2.0850360110899867E-3</v>
          </cell>
          <cell r="I75">
            <v>15854.747446818512</v>
          </cell>
          <cell r="J75">
            <v>71.104332262048047</v>
          </cell>
          <cell r="K75">
            <v>69900.387280678726</v>
          </cell>
          <cell r="M75">
            <v>59819.10668878437</v>
          </cell>
          <cell r="N75">
            <v>15965.428222627659</v>
          </cell>
          <cell r="O75">
            <v>-5844.5711871862077</v>
          </cell>
          <cell r="P75">
            <v>-39.576443547099188</v>
          </cell>
          <cell r="Q75">
            <v>-7.764311858100803E-2</v>
          </cell>
        </row>
        <row r="76">
          <cell r="A76" t="str">
            <v>2765</v>
          </cell>
          <cell r="B76" t="str">
            <v>South Gibson School Corporation</v>
          </cell>
          <cell r="C76">
            <v>175</v>
          </cell>
          <cell r="D76">
            <v>9.2584264907389279E-4</v>
          </cell>
          <cell r="E76">
            <v>28160.667342884502</v>
          </cell>
          <cell r="F76">
            <v>551.78116497176961</v>
          </cell>
          <cell r="G76">
            <v>2258</v>
          </cell>
          <cell r="H76">
            <v>1.96740965860476E-3</v>
          </cell>
          <cell r="I76">
            <v>14960.309124494861</v>
          </cell>
          <cell r="J76">
            <v>48.365913136811287</v>
          </cell>
          <cell r="K76">
            <v>43721.123545487942</v>
          </cell>
          <cell r="M76">
            <v>29307.560829217549</v>
          </cell>
          <cell r="N76">
            <v>14996.835323135263</v>
          </cell>
          <cell r="O76">
            <v>-595.11232136127728</v>
          </cell>
          <cell r="P76">
            <v>11.839714496409215</v>
          </cell>
          <cell r="Q76">
            <v>-1.3165118081265012E-2</v>
          </cell>
        </row>
        <row r="77">
          <cell r="A77" t="str">
            <v>2815</v>
          </cell>
          <cell r="B77" t="str">
            <v>Eastbrook Community Sch Corp</v>
          </cell>
          <cell r="C77">
            <v>280</v>
          </cell>
          <cell r="D77">
            <v>1.4813482385182286E-3</v>
          </cell>
          <cell r="E77">
            <v>45057.067748615205</v>
          </cell>
          <cell r="F77">
            <v>405.00353330952203</v>
          </cell>
          <cell r="G77">
            <v>1548</v>
          </cell>
          <cell r="H77">
            <v>1.3487821751639363E-3</v>
          </cell>
          <cell r="I77">
            <v>10256.226095977876</v>
          </cell>
          <cell r="J77">
            <v>89.664916794421515</v>
          </cell>
          <cell r="K77">
            <v>55807.962294697027</v>
          </cell>
          <cell r="M77">
            <v>34244.677944825271</v>
          </cell>
          <cell r="N77">
            <v>10447.763631864145</v>
          </cell>
          <cell r="O77">
            <v>11217.393337099456</v>
          </cell>
          <cell r="P77">
            <v>-101.87261909184781</v>
          </cell>
          <cell r="Q77">
            <v>0.24871142246578931</v>
          </cell>
        </row>
        <row r="78">
          <cell r="A78" t="str">
            <v>2825</v>
          </cell>
          <cell r="B78" t="str">
            <v>Madison-Grant United School Corp</v>
          </cell>
          <cell r="C78">
            <v>241</v>
          </cell>
          <cell r="D78">
            <v>1.2750175910103325E-3</v>
          </cell>
          <cell r="E78">
            <v>38781.261883629515</v>
          </cell>
          <cell r="F78">
            <v>13.689775766324601</v>
          </cell>
          <cell r="G78">
            <v>1408</v>
          </cell>
          <cell r="H78">
            <v>1.2267992911051823E-3</v>
          </cell>
          <cell r="I78">
            <v>9328.6604283829765</v>
          </cell>
          <cell r="J78">
            <v>11.711740039017968</v>
          </cell>
          <cell r="K78">
            <v>48135.32382781784</v>
          </cell>
          <cell r="M78">
            <v>37825.15695858674</v>
          </cell>
          <cell r="N78">
            <v>9397.4985067592843</v>
          </cell>
          <cell r="O78">
            <v>969.7947008090996</v>
          </cell>
          <cell r="P78">
            <v>-57.126338337289781</v>
          </cell>
          <cell r="Q78">
            <v>1.9326917418728481E-2</v>
          </cell>
        </row>
        <row r="79">
          <cell r="A79" t="str">
            <v>2855</v>
          </cell>
          <cell r="B79" t="str">
            <v>Mississinewa Community School Corp</v>
          </cell>
          <cell r="C79">
            <v>398</v>
          </cell>
          <cell r="D79">
            <v>2.1056307104651961E-3</v>
          </cell>
          <cell r="E79">
            <v>64045.403442674462</v>
          </cell>
          <cell r="F79">
            <v>618.42852995154681</v>
          </cell>
          <cell r="G79">
            <v>1789</v>
          </cell>
          <cell r="H79">
            <v>1.5587669970079342E-3</v>
          </cell>
          <cell r="I79">
            <v>11852.964138051952</v>
          </cell>
          <cell r="J79">
            <v>60.430179261684316</v>
          </cell>
          <cell r="K79">
            <v>76577.226289939645</v>
          </cell>
          <cell r="M79">
            <v>74970.389208774883</v>
          </cell>
          <cell r="N79">
            <v>12005.976973269297</v>
          </cell>
          <cell r="O79">
            <v>-10306.557236148874</v>
          </cell>
          <cell r="P79">
            <v>-92.582655955660812</v>
          </cell>
          <cell r="Q79">
            <v>-0.11956282319657754</v>
          </cell>
        </row>
        <row r="80">
          <cell r="A80" t="str">
            <v>2865</v>
          </cell>
          <cell r="B80" t="str">
            <v>Marion Community Schools</v>
          </cell>
          <cell r="C80">
            <v>1624</v>
          </cell>
          <cell r="D80">
            <v>8.5918197834057262E-3</v>
          </cell>
          <cell r="E80">
            <v>261330.9929419682</v>
          </cell>
          <cell r="F80">
            <v>7592.9522901795281</v>
          </cell>
          <cell r="G80">
            <v>4713</v>
          </cell>
          <cell r="H80">
            <v>4.1064666612064806E-3</v>
          </cell>
          <cell r="I80">
            <v>31225.835652676829</v>
          </cell>
          <cell r="J80">
            <v>877.42091145449376</v>
          </cell>
          <cell r="K80">
            <v>301027.201796279</v>
          </cell>
          <cell r="M80">
            <v>286095.06141406263</v>
          </cell>
          <cell r="N80">
            <v>32606.539389225542</v>
          </cell>
          <cell r="O80">
            <v>-17171.116181914927</v>
          </cell>
          <cell r="P80">
            <v>-503.28282509421842</v>
          </cell>
          <cell r="Q80">
            <v>-5.5457515627347902E-2</v>
          </cell>
        </row>
        <row r="81">
          <cell r="A81" t="str">
            <v>2920</v>
          </cell>
          <cell r="B81" t="str">
            <v>Bloomfield School District</v>
          </cell>
          <cell r="C81">
            <v>191</v>
          </cell>
          <cell r="D81">
            <v>1.0104911198463629E-3</v>
          </cell>
          <cell r="E81">
            <v>30735.356928519654</v>
          </cell>
          <cell r="F81">
            <v>730.69515597154896</v>
          </cell>
          <cell r="G81">
            <v>1065</v>
          </cell>
          <cell r="H81">
            <v>9.279412251612352E-4</v>
          </cell>
          <cell r="I81">
            <v>7056.1245427754766</v>
          </cell>
          <cell r="J81">
            <v>0.24019502553710481</v>
          </cell>
          <cell r="K81">
            <v>38522.416822292216</v>
          </cell>
          <cell r="M81">
            <v>31869.55048300013</v>
          </cell>
          <cell r="N81">
            <v>7051.1554123079923</v>
          </cell>
          <cell r="O81">
            <v>-403.49839850892749</v>
          </cell>
          <cell r="P81">
            <v>5.2093254930214243</v>
          </cell>
          <cell r="Q81">
            <v>-1.0233346591586862E-2</v>
          </cell>
        </row>
        <row r="82">
          <cell r="A82" t="str">
            <v>2940</v>
          </cell>
          <cell r="B82" t="str">
            <v>Eastern Greene Schools</v>
          </cell>
          <cell r="C82">
            <v>208</v>
          </cell>
          <cell r="D82">
            <v>1.1004301200421126E-3</v>
          </cell>
          <cell r="E82">
            <v>33470.964613257012</v>
          </cell>
          <cell r="F82">
            <v>997.52472234410379</v>
          </cell>
          <cell r="G82">
            <v>1409</v>
          </cell>
          <cell r="H82">
            <v>1.2276705974198878E-3</v>
          </cell>
          <cell r="I82">
            <v>9335.2858974372266</v>
          </cell>
          <cell r="J82">
            <v>102.85403502450572</v>
          </cell>
          <cell r="K82">
            <v>43906.629268062854</v>
          </cell>
          <cell r="M82">
            <v>33883.968868746735</v>
          </cell>
          <cell r="N82">
            <v>9534.9413707137955</v>
          </cell>
          <cell r="O82">
            <v>584.52046685438108</v>
          </cell>
          <cell r="P82">
            <v>-96.801438252063235</v>
          </cell>
          <cell r="Q82">
            <v>1.1232871251546586E-2</v>
          </cell>
        </row>
        <row r="83">
          <cell r="A83" t="str">
            <v>2950</v>
          </cell>
          <cell r="B83" t="str">
            <v>Linton-Stockton School Corporation</v>
          </cell>
          <cell r="C83">
            <v>232</v>
          </cell>
          <cell r="D83">
            <v>1.2274028262008179E-3</v>
          </cell>
          <cell r="E83">
            <v>37332.998991709741</v>
          </cell>
          <cell r="F83">
            <v>900.37757384518045</v>
          </cell>
          <cell r="G83">
            <v>1206</v>
          </cell>
          <cell r="H83">
            <v>1.0507954155346945E-3</v>
          </cell>
          <cell r="I83">
            <v>7990.3156794246242</v>
          </cell>
          <cell r="J83">
            <v>42.162787319312883</v>
          </cell>
          <cell r="K83">
            <v>46265.855032298859</v>
          </cell>
          <cell r="M83">
            <v>36805.384226439353</v>
          </cell>
          <cell r="N83">
            <v>8098.4617879290981</v>
          </cell>
          <cell r="O83">
            <v>1427.992339115568</v>
          </cell>
          <cell r="P83">
            <v>-65.983321185161003</v>
          </cell>
          <cell r="Q83">
            <v>3.033167843784668E-2</v>
          </cell>
        </row>
        <row r="84">
          <cell r="A84" t="str">
            <v>2960</v>
          </cell>
          <cell r="B84" t="str">
            <v>MSD Shakamak Schools</v>
          </cell>
          <cell r="C84">
            <v>155</v>
          </cell>
          <cell r="D84">
            <v>8.200320606083051E-4</v>
          </cell>
          <cell r="E84">
            <v>24942.305360840561</v>
          </cell>
          <cell r="F84">
            <v>710.15477996997652</v>
          </cell>
          <cell r="G84">
            <v>835</v>
          </cell>
          <cell r="H84">
            <v>7.2754077277899665E-4</v>
          </cell>
          <cell r="I84">
            <v>5532.2666602981435</v>
          </cell>
          <cell r="J84">
            <v>5.9569434792592801</v>
          </cell>
          <cell r="K84">
            <v>31190.683744587943</v>
          </cell>
          <cell r="M84">
            <v>27082.858781432958</v>
          </cell>
          <cell r="N84">
            <v>5674.4694586866362</v>
          </cell>
          <cell r="O84">
            <v>-1430.3986406224212</v>
          </cell>
          <cell r="P84">
            <v>-136.24585490923346</v>
          </cell>
          <cell r="Q84">
            <v>-4.782577150516519E-2</v>
          </cell>
        </row>
        <row r="85">
          <cell r="A85" t="str">
            <v>2980</v>
          </cell>
          <cell r="B85" t="str">
            <v>White River Valley School District</v>
          </cell>
          <cell r="C85">
            <v>154</v>
          </cell>
          <cell r="D85">
            <v>8.1474153118502566E-4</v>
          </cell>
          <cell r="E85">
            <v>24781.38726173836</v>
          </cell>
          <cell r="F85">
            <v>386.20808761569788</v>
          </cell>
          <cell r="G85">
            <v>871</v>
          </cell>
          <cell r="H85">
            <v>7.5890780010839053E-4</v>
          </cell>
          <cell r="I85">
            <v>5770.7835462511175</v>
          </cell>
          <cell r="J85">
            <v>30.379108810111575</v>
          </cell>
          <cell r="K85">
            <v>30968.758004415286</v>
          </cell>
          <cell r="M85">
            <v>25329.066691408996</v>
          </cell>
          <cell r="N85">
            <v>5844.4076979201282</v>
          </cell>
          <cell r="O85">
            <v>-161.47134205493785</v>
          </cell>
          <cell r="P85">
            <v>-43.245042858899069</v>
          </cell>
          <cell r="Q85">
            <v>-6.5670057292013823E-3</v>
          </cell>
        </row>
        <row r="86">
          <cell r="A86" t="str">
            <v>3005</v>
          </cell>
          <cell r="B86" t="str">
            <v>Hamilton Southeastern Schools</v>
          </cell>
          <cell r="C86">
            <v>806</v>
          </cell>
          <cell r="D86">
            <v>4.2641667151631863E-3</v>
          </cell>
          <cell r="E86">
            <v>129699.9878763709</v>
          </cell>
          <cell r="F86">
            <v>1559.9880811790063</v>
          </cell>
          <cell r="G86">
            <v>22870</v>
          </cell>
          <cell r="H86">
            <v>1.9926775417312158E-2</v>
          </cell>
          <cell r="I86">
            <v>151524.47727068089</v>
          </cell>
          <cell r="J86">
            <v>-24.024948308971943</v>
          </cell>
          <cell r="K86">
            <v>282760.42827992188</v>
          </cell>
          <cell r="M86">
            <v>121349.25806372773</v>
          </cell>
          <cell r="N86">
            <v>150386.68053105596</v>
          </cell>
          <cell r="O86">
            <v>9910.7178938221768</v>
          </cell>
          <cell r="P86">
            <v>1113.7717913159577</v>
          </cell>
          <cell r="Q86">
            <v>4.0570598582390698E-2</v>
          </cell>
        </row>
        <row r="87">
          <cell r="A87" t="str">
            <v>3025</v>
          </cell>
          <cell r="B87" t="str">
            <v>Hamilton Heights School Corp</v>
          </cell>
          <cell r="C87">
            <v>179</v>
          </cell>
          <cell r="D87">
            <v>9.4700476676701033E-4</v>
          </cell>
          <cell r="E87">
            <v>28804.339739293289</v>
          </cell>
          <cell r="F87">
            <v>105.39775678158185</v>
          </cell>
          <cell r="G87">
            <v>2706</v>
          </cell>
          <cell r="H87">
            <v>2.3577548875927724E-3</v>
          </cell>
          <cell r="I87">
            <v>17928.519260798534</v>
          </cell>
          <cell r="J87">
            <v>-29.483463340282469</v>
          </cell>
          <cell r="K87">
            <v>46808.77329353313</v>
          </cell>
          <cell r="M87">
            <v>24571.641228018321</v>
          </cell>
          <cell r="N87">
            <v>17835.92179170654</v>
          </cell>
          <cell r="O87">
            <v>4338.0962680565499</v>
          </cell>
          <cell r="P87">
            <v>63.114005751711375</v>
          </cell>
          <cell r="Q87">
            <v>0.10378361689307976</v>
          </cell>
        </row>
        <row r="88">
          <cell r="A88" t="str">
            <v>3030</v>
          </cell>
          <cell r="B88" t="str">
            <v>Westfield-Washington Schools</v>
          </cell>
          <cell r="C88">
            <v>348</v>
          </cell>
          <cell r="D88">
            <v>1.8411042393012269E-3</v>
          </cell>
          <cell r="E88">
            <v>55999.498487564611</v>
          </cell>
          <cell r="F88">
            <v>268.61526886550564</v>
          </cell>
          <cell r="G88">
            <v>8072</v>
          </cell>
          <cell r="H88">
            <v>7.0331845723018696E-3</v>
          </cell>
          <cell r="I88">
            <v>53480.786205900142</v>
          </cell>
          <cell r="J88">
            <v>71.367193565296475</v>
          </cell>
          <cell r="K88">
            <v>109820.26715589556</v>
          </cell>
          <cell r="M88">
            <v>58097.918019061442</v>
          </cell>
          <cell r="N88">
            <v>53403.008278882779</v>
          </cell>
          <cell r="O88">
            <v>-1829.8042626313254</v>
          </cell>
          <cell r="P88">
            <v>149.14512058265973</v>
          </cell>
          <cell r="Q88">
            <v>-1.5073050940919874E-2</v>
          </cell>
        </row>
        <row r="89">
          <cell r="A89" t="str">
            <v>3055</v>
          </cell>
          <cell r="B89" t="str">
            <v>Sheridan Community Schools</v>
          </cell>
          <cell r="C89">
            <v>111</v>
          </cell>
          <cell r="D89">
            <v>5.8724876598401207E-4</v>
          </cell>
          <cell r="E89">
            <v>17861.909000343887</v>
          </cell>
          <cell r="F89">
            <v>218.27421524193232</v>
          </cell>
          <cell r="G89">
            <v>1287</v>
          </cell>
          <cell r="H89">
            <v>1.1213712270258308E-3</v>
          </cell>
          <cell r="I89">
            <v>8526.9786728188155</v>
          </cell>
          <cell r="J89">
            <v>12.072499838816839</v>
          </cell>
          <cell r="K89">
            <v>26619.234388243454</v>
          </cell>
          <cell r="M89">
            <v>16264.317011312782</v>
          </cell>
          <cell r="N89">
            <v>8438.7760522007775</v>
          </cell>
          <cell r="O89">
            <v>1815.8662042730393</v>
          </cell>
          <cell r="P89">
            <v>100.2751204568558</v>
          </cell>
          <cell r="Q89">
            <v>7.7566858522669521E-2</v>
          </cell>
        </row>
        <row r="90">
          <cell r="A90" t="str">
            <v>3060</v>
          </cell>
          <cell r="B90" t="str">
            <v>Carmel Clay Schools</v>
          </cell>
          <cell r="C90">
            <v>610</v>
          </cell>
          <cell r="D90">
            <v>3.2272229482004262E-3</v>
          </cell>
          <cell r="E90">
            <v>98160.040452340254</v>
          </cell>
          <cell r="F90">
            <v>1083.3911869803997</v>
          </cell>
          <cell r="G90">
            <v>20656</v>
          </cell>
          <cell r="H90">
            <v>1.7997703236554436E-2</v>
          </cell>
          <cell r="I90">
            <v>136855.68878457299</v>
          </cell>
          <cell r="J90">
            <v>21.287718849140219</v>
          </cell>
          <cell r="K90">
            <v>236120.40814274279</v>
          </cell>
          <cell r="M90">
            <v>84014.424251821809</v>
          </cell>
          <cell r="N90">
            <v>136012.67314786158</v>
          </cell>
          <cell r="O90">
            <v>15229.007387498845</v>
          </cell>
          <cell r="P90">
            <v>864.3033555605507</v>
          </cell>
          <cell r="Q90">
            <v>7.3142403518715662E-2</v>
          </cell>
        </row>
        <row r="91">
          <cell r="A91" t="str">
            <v>3070</v>
          </cell>
          <cell r="B91" t="str">
            <v>Noblesville Schools</v>
          </cell>
          <cell r="C91">
            <v>592</v>
          </cell>
          <cell r="D91">
            <v>3.1319934185813974E-3</v>
          </cell>
          <cell r="E91">
            <v>95263.51466850072</v>
          </cell>
          <cell r="F91">
            <v>1260.6560502633802</v>
          </cell>
          <cell r="G91">
            <v>11216</v>
          </cell>
          <cell r="H91">
            <v>9.7725716257356012E-3</v>
          </cell>
          <cell r="I91">
            <v>74311.260912459853</v>
          </cell>
          <cell r="J91">
            <v>204.31552913252381</v>
          </cell>
          <cell r="K91">
            <v>171039.74716035646</v>
          </cell>
          <cell r="M91">
            <v>90705.429260044446</v>
          </cell>
          <cell r="N91">
            <v>74066.951768713363</v>
          </cell>
          <cell r="O91">
            <v>5818.7414587196545</v>
          </cell>
          <cell r="P91">
            <v>448.62467287901381</v>
          </cell>
          <cell r="Q91">
            <v>3.8036508864339479E-2</v>
          </cell>
        </row>
        <row r="92">
          <cell r="A92" t="str">
            <v>3115</v>
          </cell>
          <cell r="B92" t="str">
            <v>Southern Hancock Co Com Sch Corp</v>
          </cell>
          <cell r="C92">
            <v>165</v>
          </cell>
          <cell r="D92">
            <v>8.7293735484109895E-4</v>
          </cell>
          <cell r="E92">
            <v>26551.486351862532</v>
          </cell>
          <cell r="F92">
            <v>411.85533165939705</v>
          </cell>
          <cell r="G92">
            <v>3460</v>
          </cell>
          <cell r="H92">
            <v>3.0147198488806328E-3</v>
          </cell>
          <cell r="I92">
            <v>22924.122927702487</v>
          </cell>
          <cell r="J92">
            <v>-1.2021072261231893</v>
          </cell>
          <cell r="K92">
            <v>49886.262503998296</v>
          </cell>
          <cell r="M92">
            <v>26784.559333122379</v>
          </cell>
          <cell r="N92">
            <v>22520.717512705171</v>
          </cell>
          <cell r="O92">
            <v>178.78235039954961</v>
          </cell>
          <cell r="P92">
            <v>402.20330777119307</v>
          </cell>
          <cell r="Q92">
            <v>1.1783437703583415E-2</v>
          </cell>
        </row>
        <row r="93">
          <cell r="A93" t="str">
            <v>3125</v>
          </cell>
          <cell r="B93" t="str">
            <v>Greenfield-Central Com Schools</v>
          </cell>
          <cell r="C93">
            <v>380</v>
          </cell>
          <cell r="D93">
            <v>2.0104011808461672E-3</v>
          </cell>
          <cell r="E93">
            <v>61148.877658834921</v>
          </cell>
          <cell r="F93">
            <v>269.61321282889548</v>
          </cell>
          <cell r="G93">
            <v>4860</v>
          </cell>
          <cell r="H93">
            <v>4.2345486894681721E-3</v>
          </cell>
          <cell r="I93">
            <v>32199.77960365147</v>
          </cell>
          <cell r="J93">
            <v>67.177033157149708</v>
          </cell>
          <cell r="K93">
            <v>93685.447508472425</v>
          </cell>
          <cell r="M93">
            <v>62865.067288590428</v>
          </cell>
          <cell r="N93">
            <v>31796.295510928197</v>
          </cell>
          <cell r="O93">
            <v>-1446.5764169266113</v>
          </cell>
          <cell r="P93">
            <v>470.66112588042233</v>
          </cell>
          <cell r="Q93">
            <v>-1.0309541952328112E-2</v>
          </cell>
        </row>
        <row r="94">
          <cell r="A94" t="str">
            <v>3135</v>
          </cell>
          <cell r="B94" t="str">
            <v>Mt Vernon Community School Corp</v>
          </cell>
          <cell r="C94">
            <v>207</v>
          </cell>
          <cell r="D94">
            <v>1.0951395906188333E-3</v>
          </cell>
          <cell r="E94">
            <v>33310.046514154812</v>
          </cell>
          <cell r="F94">
            <v>-2.7069153926422587</v>
          </cell>
          <cell r="G94">
            <v>3745</v>
          </cell>
          <cell r="H94">
            <v>3.2630421485716674E-3</v>
          </cell>
          <cell r="I94">
            <v>24812.38160816353</v>
          </cell>
          <cell r="J94">
            <v>25.892628324552788</v>
          </cell>
          <cell r="K94">
            <v>58145.613835250253</v>
          </cell>
          <cell r="M94">
            <v>33995.839206975295</v>
          </cell>
          <cell r="N94">
            <v>24565.194181906085</v>
          </cell>
          <cell r="O94">
            <v>-688.49960821312561</v>
          </cell>
          <cell r="P94">
            <v>273.08005458199841</v>
          </cell>
          <cell r="Q94">
            <v>-7.0937879608866392E-3</v>
          </cell>
        </row>
        <row r="95">
          <cell r="A95" t="str">
            <v>3145</v>
          </cell>
          <cell r="B95" t="str">
            <v>Eastern Hancock Co Com Sch Corp</v>
          </cell>
          <cell r="C95">
            <v>85</v>
          </cell>
          <cell r="D95">
            <v>4.4969500097874796E-4</v>
          </cell>
          <cell r="E95">
            <v>13678.038423686759</v>
          </cell>
          <cell r="F95">
            <v>-242.1559346658687</v>
          </cell>
          <cell r="G95">
            <v>1117</v>
          </cell>
          <cell r="H95">
            <v>9.7324915352591521E-4</v>
          </cell>
          <cell r="I95">
            <v>7400.6489335964379</v>
          </cell>
          <cell r="J95">
            <v>-8.0937794899000437E-2</v>
          </cell>
          <cell r="K95">
            <v>20836.450484822431</v>
          </cell>
          <cell r="M95">
            <v>12785.324355213435</v>
          </cell>
          <cell r="N95">
            <v>7282.3371243326656</v>
          </cell>
          <cell r="O95">
            <v>650.55813380745531</v>
          </cell>
          <cell r="P95">
            <v>118.23087146887337</v>
          </cell>
          <cell r="Q95">
            <v>3.8309845223366681E-2</v>
          </cell>
        </row>
        <row r="96">
          <cell r="A96" t="str">
            <v>3160</v>
          </cell>
          <cell r="B96" t="str">
            <v>Lanesville Community School Corp</v>
          </cell>
          <cell r="C96">
            <v>42</v>
          </cell>
          <cell r="D96">
            <v>2.2220223577773429E-4</v>
          </cell>
          <cell r="E96">
            <v>6758.5601622922804</v>
          </cell>
          <cell r="F96">
            <v>314.36286530959387</v>
          </cell>
          <cell r="G96">
            <v>713</v>
          </cell>
          <cell r="H96">
            <v>6.2124140238493963E-4</v>
          </cell>
          <cell r="I96">
            <v>4723.9594356797325</v>
          </cell>
          <cell r="J96">
            <v>17.60890095137438</v>
          </cell>
          <cell r="K96">
            <v>11814.491364232981</v>
          </cell>
          <cell r="M96">
            <v>8575.691829623298</v>
          </cell>
          <cell r="N96">
            <v>4667.5088988402731</v>
          </cell>
          <cell r="O96">
            <v>-1502.7688020214237</v>
          </cell>
          <cell r="P96">
            <v>74.059437790833726</v>
          </cell>
          <cell r="Q96">
            <v>-0.10788248200148996</v>
          </cell>
        </row>
        <row r="97">
          <cell r="A97" t="str">
            <v>3180</v>
          </cell>
          <cell r="B97" t="str">
            <v>North Harrison Com School Corp</v>
          </cell>
          <cell r="C97">
            <v>292</v>
          </cell>
          <cell r="D97">
            <v>1.5448345915975812E-3</v>
          </cell>
          <cell r="E97">
            <v>46988.084937841566</v>
          </cell>
          <cell r="F97">
            <v>698.90230688887095</v>
          </cell>
          <cell r="G97">
            <v>2414</v>
          </cell>
          <cell r="H97">
            <v>2.1033334436987997E-3</v>
          </cell>
          <cell r="I97">
            <v>15993.882296957745</v>
          </cell>
          <cell r="J97">
            <v>52.631573927204954</v>
          </cell>
          <cell r="K97">
            <v>63733.501115615385</v>
          </cell>
          <cell r="M97">
            <v>45500.724767205502</v>
          </cell>
          <cell r="N97">
            <v>15801.439390390176</v>
          </cell>
          <cell r="O97">
            <v>2186.2624775249351</v>
          </cell>
          <cell r="P97">
            <v>245.07448049477352</v>
          </cell>
          <cell r="Q97">
            <v>3.9661519155656966E-2</v>
          </cell>
        </row>
        <row r="98">
          <cell r="A98" t="str">
            <v>3190</v>
          </cell>
          <cell r="B98" t="str">
            <v>South Harrison Com Schools</v>
          </cell>
          <cell r="C98">
            <v>468</v>
          </cell>
          <cell r="D98">
            <v>2.4759677700947535E-3</v>
          </cell>
          <cell r="E98">
            <v>75309.670379828269</v>
          </cell>
          <cell r="F98">
            <v>484.06165282169241</v>
          </cell>
          <cell r="G98">
            <v>3417</v>
          </cell>
          <cell r="H98">
            <v>2.9772536773483012E-3</v>
          </cell>
          <cell r="I98">
            <v>22639.227758369769</v>
          </cell>
          <cell r="J98">
            <v>117.75563107224662</v>
          </cell>
          <cell r="K98">
            <v>98550.715422091977</v>
          </cell>
          <cell r="M98">
            <v>73723.920355679715</v>
          </cell>
          <cell r="N98">
            <v>22547.074113065497</v>
          </cell>
          <cell r="O98">
            <v>2069.8116769702465</v>
          </cell>
          <cell r="P98">
            <v>209.90927637651839</v>
          </cell>
          <cell r="Q98">
            <v>2.3680247263747609E-2</v>
          </cell>
        </row>
        <row r="99">
          <cell r="A99" t="str">
            <v>3295</v>
          </cell>
          <cell r="B99" t="str">
            <v>North West Hendricks Schools</v>
          </cell>
          <cell r="C99">
            <v>92</v>
          </cell>
          <cell r="D99">
            <v>4.8672870694170366E-4</v>
          </cell>
          <cell r="E99">
            <v>14804.465117402138</v>
          </cell>
          <cell r="F99">
            <v>-95.773035429456286</v>
          </cell>
          <cell r="G99">
            <v>2207</v>
          </cell>
          <cell r="H99">
            <v>1.9229730365547852E-3</v>
          </cell>
          <cell r="I99">
            <v>14622.410202728148</v>
          </cell>
          <cell r="J99">
            <v>30.841990650826119</v>
          </cell>
          <cell r="K99">
            <v>29361.944275351656</v>
          </cell>
          <cell r="M99">
            <v>12296.2204110411</v>
          </cell>
          <cell r="N99">
            <v>14529.534444950208</v>
          </cell>
          <cell r="O99">
            <v>2412.4716709315817</v>
          </cell>
          <cell r="P99">
            <v>123.71774842876584</v>
          </cell>
          <cell r="Q99">
            <v>9.4543077463257699E-2</v>
          </cell>
        </row>
        <row r="100">
          <cell r="A100" t="str">
            <v>3305</v>
          </cell>
          <cell r="B100" t="str">
            <v>Brownsburg Community School Corp</v>
          </cell>
          <cell r="C100">
            <v>472</v>
          </cell>
          <cell r="D100">
            <v>2.4971298877878708E-3</v>
          </cell>
          <cell r="E100">
            <v>75953.342776237056</v>
          </cell>
          <cell r="F100">
            <v>281.24173289385362</v>
          </cell>
          <cell r="G100">
            <v>9246</v>
          </cell>
          <cell r="H100">
            <v>8.0560981857659923E-3</v>
          </cell>
          <cell r="I100">
            <v>61259.086875588793</v>
          </cell>
          <cell r="J100">
            <v>114.17977624185005</v>
          </cell>
          <cell r="K100">
            <v>137607.85116096158</v>
          </cell>
          <cell r="M100">
            <v>65577.514893142565</v>
          </cell>
          <cell r="N100">
            <v>61025.885438487749</v>
          </cell>
          <cell r="O100">
            <v>10657.069615988352</v>
          </cell>
          <cell r="P100">
            <v>347.38121334289463</v>
          </cell>
          <cell r="Q100">
            <v>8.6920657743044194E-2</v>
          </cell>
        </row>
        <row r="101">
          <cell r="A101" t="str">
            <v>3315</v>
          </cell>
          <cell r="B101" t="str">
            <v>Avon Community School Corp</v>
          </cell>
          <cell r="C101">
            <v>613</v>
          </cell>
          <cell r="D101">
            <v>3.2430945364702647E-3</v>
          </cell>
          <cell r="E101">
            <v>98642.794749646855</v>
          </cell>
          <cell r="F101">
            <v>193.97226400476939</v>
          </cell>
          <cell r="G101">
            <v>10206</v>
          </cell>
          <cell r="H101">
            <v>8.8925522478831617E-3</v>
          </cell>
          <cell r="I101">
            <v>67619.537167668095</v>
          </cell>
          <cell r="J101">
            <v>176.86003235687531</v>
          </cell>
          <cell r="K101">
            <v>166633.16421367659</v>
          </cell>
          <cell r="M101">
            <v>84395.979015663674</v>
          </cell>
          <cell r="N101">
            <v>67478.044212327775</v>
          </cell>
          <cell r="O101">
            <v>14440.787997987951</v>
          </cell>
          <cell r="P101">
            <v>318.35298769720248</v>
          </cell>
          <cell r="Q101">
            <v>9.7180154130301191E-2</v>
          </cell>
        </row>
        <row r="102">
          <cell r="A102" t="str">
            <v>3325</v>
          </cell>
          <cell r="B102" t="str">
            <v>Danville Community School Corp</v>
          </cell>
          <cell r="C102">
            <v>168</v>
          </cell>
          <cell r="D102">
            <v>8.8880894311093716E-4</v>
          </cell>
          <cell r="E102">
            <v>27034.240649169122</v>
          </cell>
          <cell r="F102">
            <v>98.531985022473236</v>
          </cell>
          <cell r="G102">
            <v>2956</v>
          </cell>
          <cell r="H102">
            <v>2.5755814662691188E-3</v>
          </cell>
          <cell r="I102">
            <v>19584.886524360852</v>
          </cell>
          <cell r="J102">
            <v>96.369080784119433</v>
          </cell>
          <cell r="K102">
            <v>46814.028239336563</v>
          </cell>
          <cell r="M102">
            <v>22976.058347737348</v>
          </cell>
          <cell r="N102">
            <v>19549.222414768828</v>
          </cell>
          <cell r="O102">
            <v>4156.7142864542475</v>
          </cell>
          <cell r="P102">
            <v>132.03319037614347</v>
          </cell>
          <cell r="Q102">
            <v>0.10085171455497378</v>
          </cell>
        </row>
        <row r="103">
          <cell r="A103" t="str">
            <v>3330</v>
          </cell>
          <cell r="B103" t="str">
            <v>Plainfield Community School Corp</v>
          </cell>
          <cell r="C103">
            <v>392</v>
          </cell>
          <cell r="D103">
            <v>2.0738875339255201E-3</v>
          </cell>
          <cell r="E103">
            <v>63079.894848061289</v>
          </cell>
          <cell r="F103">
            <v>249.40611098726367</v>
          </cell>
          <cell r="G103">
            <v>5168</v>
          </cell>
          <cell r="H103">
            <v>4.5029110343974303E-3</v>
          </cell>
          <cell r="I103">
            <v>34240.424072360242</v>
          </cell>
          <cell r="J103">
            <v>73.324344025812024</v>
          </cell>
          <cell r="K103">
            <v>97643.04937543461</v>
          </cell>
          <cell r="M103">
            <v>53630.300957321968</v>
          </cell>
          <cell r="N103">
            <v>34084.399435270083</v>
          </cell>
          <cell r="O103">
            <v>9699.0000017265847</v>
          </cell>
          <cell r="P103">
            <v>229.34898111596704</v>
          </cell>
          <cell r="Q103">
            <v>0.11318911127103445</v>
          </cell>
        </row>
        <row r="104">
          <cell r="A104" t="str">
            <v>3335</v>
          </cell>
          <cell r="B104" t="str">
            <v>Mill Creek Community Sch Corp</v>
          </cell>
          <cell r="C104">
            <v>225</v>
          </cell>
          <cell r="D104">
            <v>1.1903691202378621E-3</v>
          </cell>
          <cell r="E104">
            <v>36206.57229799436</v>
          </cell>
          <cell r="F104">
            <v>256.21645675009131</v>
          </cell>
          <cell r="G104">
            <v>1951</v>
          </cell>
          <cell r="H104">
            <v>1.6999186199902064E-3</v>
          </cell>
          <cell r="I104">
            <v>12926.290124840332</v>
          </cell>
          <cell r="J104">
            <v>17.797718372354211</v>
          </cell>
          <cell r="K104">
            <v>49406.876597957147</v>
          </cell>
          <cell r="M104">
            <v>29647.482964404615</v>
          </cell>
          <cell r="N104">
            <v>12750.454184853335</v>
          </cell>
          <cell r="O104">
            <v>6815.3057903398403</v>
          </cell>
          <cell r="P104">
            <v>193.6336583593511</v>
          </cell>
          <cell r="Q104">
            <v>0.16531321851874253</v>
          </cell>
        </row>
        <row r="105">
          <cell r="A105" t="str">
            <v>3405</v>
          </cell>
          <cell r="B105" t="str">
            <v>Blue River Valley Schools</v>
          </cell>
          <cell r="C105">
            <v>106</v>
          </cell>
          <cell r="D105">
            <v>5.6079611886761509E-4</v>
          </cell>
          <cell r="E105">
            <v>17057.3185048329</v>
          </cell>
          <cell r="F105">
            <v>-223.0064274574579</v>
          </cell>
          <cell r="G105">
            <v>708</v>
          </cell>
          <cell r="H105">
            <v>6.1688487081141272E-4</v>
          </cell>
          <cell r="I105">
            <v>4690.8320904084858</v>
          </cell>
          <cell r="J105">
            <v>-0.25215871047112159</v>
          </cell>
          <cell r="K105">
            <v>21524.892009073457</v>
          </cell>
          <cell r="M105">
            <v>17252.88176628307</v>
          </cell>
          <cell r="N105">
            <v>4709.1771421385984</v>
          </cell>
          <cell r="O105">
            <v>-418.56968890762801</v>
          </cell>
          <cell r="P105">
            <v>-18.597210440583694</v>
          </cell>
          <cell r="Q105">
            <v>-1.9905551714032316E-2</v>
          </cell>
        </row>
        <row r="106">
          <cell r="A106" t="str">
            <v>3415</v>
          </cell>
          <cell r="B106" t="str">
            <v>South Henry School Corp</v>
          </cell>
          <cell r="C106">
            <v>81</v>
          </cell>
          <cell r="D106">
            <v>4.2853288328563037E-4</v>
          </cell>
          <cell r="E106">
            <v>13034.366027277969</v>
          </cell>
          <cell r="F106">
            <v>-799.72690648637763</v>
          </cell>
          <cell r="G106">
            <v>698</v>
          </cell>
          <cell r="H106">
            <v>6.0817180766435891E-4</v>
          </cell>
          <cell r="I106">
            <v>4624.5773998659934</v>
          </cell>
          <cell r="J106">
            <v>0.98269663875817059</v>
          </cell>
          <cell r="K106">
            <v>16860.199217296344</v>
          </cell>
          <cell r="M106">
            <v>12227.753383392926</v>
          </cell>
          <cell r="N106">
            <v>4650.8826945276569</v>
          </cell>
          <cell r="O106">
            <v>6.8857373986647872</v>
          </cell>
          <cell r="P106">
            <v>-25.322598022905368</v>
          </cell>
          <cell r="Q106">
            <v>-1.092319340207729E-3</v>
          </cell>
        </row>
        <row r="107">
          <cell r="A107" t="str">
            <v>3435</v>
          </cell>
          <cell r="B107" t="str">
            <v>Shenandoah School Corporation</v>
          </cell>
          <cell r="C107">
            <v>184</v>
          </cell>
          <cell r="D107">
            <v>9.7345741388340731E-4</v>
          </cell>
          <cell r="E107">
            <v>29608.930234804277</v>
          </cell>
          <cell r="F107">
            <v>318.82113887016749</v>
          </cell>
          <cell r="G107">
            <v>1238</v>
          </cell>
          <cell r="H107">
            <v>1.0786772176052668E-3</v>
          </cell>
          <cell r="I107">
            <v>8202.3306891606007</v>
          </cell>
          <cell r="J107">
            <v>31.169094373253756</v>
          </cell>
          <cell r="K107">
            <v>38161.251157208302</v>
          </cell>
          <cell r="M107">
            <v>30663.317911637809</v>
          </cell>
          <cell r="N107">
            <v>8312.3565728325739</v>
          </cell>
          <cell r="O107">
            <v>-735.56653796336468</v>
          </cell>
          <cell r="P107">
            <v>-78.856789298719377</v>
          </cell>
          <cell r="Q107">
            <v>-2.0895682705544611E-2</v>
          </cell>
        </row>
        <row r="108">
          <cell r="A108" t="str">
            <v>3445</v>
          </cell>
          <cell r="B108" t="str">
            <v>New Castle Community School Corp</v>
          </cell>
          <cell r="C108">
            <v>679</v>
          </cell>
          <cell r="D108">
            <v>3.5922694784067044E-3</v>
          </cell>
          <cell r="E108">
            <v>109263.38929039187</v>
          </cell>
          <cell r="F108">
            <v>150.26906626438722</v>
          </cell>
          <cell r="G108">
            <v>3516</v>
          </cell>
          <cell r="H108">
            <v>3.0635130025041344E-3</v>
          </cell>
          <cell r="I108">
            <v>23295.149194740447</v>
          </cell>
          <cell r="J108">
            <v>100.56204446208721</v>
          </cell>
          <cell r="K108">
            <v>132809.36959585879</v>
          </cell>
          <cell r="M108">
            <v>117874.20680773468</v>
          </cell>
          <cell r="N108">
            <v>23502.192474804797</v>
          </cell>
          <cell r="O108">
            <v>-8460.5484510784154</v>
          </cell>
          <cell r="P108">
            <v>-106.48123560226304</v>
          </cell>
          <cell r="Q108">
            <v>-6.0597311362836075E-2</v>
          </cell>
        </row>
        <row r="109">
          <cell r="A109" t="str">
            <v>3455</v>
          </cell>
          <cell r="B109" t="str">
            <v>C A Beard Memorial School Corp</v>
          </cell>
          <cell r="C109">
            <v>175</v>
          </cell>
          <cell r="D109">
            <v>9.2584264907389279E-4</v>
          </cell>
          <cell r="E109">
            <v>28160.667342884502</v>
          </cell>
          <cell r="F109">
            <v>-1454.8284972164911</v>
          </cell>
          <cell r="G109">
            <v>1265</v>
          </cell>
          <cell r="H109">
            <v>1.1022024881023123E-3</v>
          </cell>
          <cell r="I109">
            <v>8381.2183536253306</v>
          </cell>
          <cell r="J109">
            <v>-96.314023768174593</v>
          </cell>
          <cell r="K109">
            <v>34990.743175525167</v>
          </cell>
          <cell r="M109">
            <v>28095.309721290221</v>
          </cell>
          <cell r="N109">
            <v>8317.1607946026361</v>
          </cell>
          <cell r="O109">
            <v>-1389.4708756222099</v>
          </cell>
          <cell r="P109">
            <v>-32.256464745480116</v>
          </cell>
          <cell r="Q109">
            <v>-3.9045066709965541E-2</v>
          </cell>
        </row>
        <row r="110">
          <cell r="A110" t="str">
            <v>3460</v>
          </cell>
          <cell r="B110" t="str">
            <v>Taylor Community School Corp</v>
          </cell>
          <cell r="C110">
            <v>210</v>
          </cell>
          <cell r="D110">
            <v>1.1110111788886713E-3</v>
          </cell>
          <cell r="E110">
            <v>33792.800811461399</v>
          </cell>
          <cell r="F110">
            <v>182.67178835420782</v>
          </cell>
          <cell r="G110">
            <v>1451</v>
          </cell>
          <cell r="H110">
            <v>1.2642654626375139E-3</v>
          </cell>
          <cell r="I110">
            <v>9613.5555977156964</v>
          </cell>
          <cell r="J110">
            <v>30.489273401599348</v>
          </cell>
          <cell r="K110">
            <v>43619.5174709329</v>
          </cell>
          <cell r="M110">
            <v>42601.418585888037</v>
          </cell>
          <cell r="N110">
            <v>9489.0340770731855</v>
          </cell>
          <cell r="O110">
            <v>-8625.945986072431</v>
          </cell>
          <cell r="P110">
            <v>155.0107940441103</v>
          </cell>
          <cell r="Q110">
            <v>-0.16261972701288419</v>
          </cell>
        </row>
        <row r="111">
          <cell r="A111" t="str">
            <v>3470</v>
          </cell>
          <cell r="B111" t="str">
            <v>Northwestern School Corp</v>
          </cell>
          <cell r="C111">
            <v>174</v>
          </cell>
          <cell r="D111">
            <v>9.2055211965061346E-4</v>
          </cell>
          <cell r="E111">
            <v>27999.749243782306</v>
          </cell>
          <cell r="F111">
            <v>142.3122289914354</v>
          </cell>
          <cell r="G111">
            <v>1565</v>
          </cell>
          <cell r="H111">
            <v>1.3635943825139277E-3</v>
          </cell>
          <cell r="I111">
            <v>10368.859069900112</v>
          </cell>
          <cell r="J111">
            <v>23.262732397664877</v>
          </cell>
          <cell r="K111">
            <v>38534.183275071518</v>
          </cell>
          <cell r="M111">
            <v>33187.628086246244</v>
          </cell>
          <cell r="N111">
            <v>10255.688474551473</v>
          </cell>
          <cell r="O111">
            <v>-5045.5666134725034</v>
          </cell>
          <cell r="P111">
            <v>136.43332774630471</v>
          </cell>
          <cell r="Q111">
            <v>-0.11300088654272063</v>
          </cell>
        </row>
        <row r="112">
          <cell r="A112" t="str">
            <v>3480</v>
          </cell>
          <cell r="B112" t="str">
            <v>Eastern Howard School Corporation</v>
          </cell>
          <cell r="C112">
            <v>91</v>
          </cell>
          <cell r="D112">
            <v>4.8143817751842427E-4</v>
          </cell>
          <cell r="E112">
            <v>14643.547018299942</v>
          </cell>
          <cell r="F112">
            <v>-64.296410466406087</v>
          </cell>
          <cell r="G112">
            <v>1195</v>
          </cell>
          <cell r="H112">
            <v>1.0412110460729354E-3</v>
          </cell>
          <cell r="I112">
            <v>7917.4355198278827</v>
          </cell>
          <cell r="J112">
            <v>0.19464585093191999</v>
          </cell>
          <cell r="K112">
            <v>22496.880773512348</v>
          </cell>
          <cell r="M112">
            <v>19635.795735204734</v>
          </cell>
          <cell r="N112">
            <v>7858.0626365934813</v>
          </cell>
          <cell r="O112">
            <v>-5056.5451273711988</v>
          </cell>
          <cell r="P112">
            <v>59.567529085333263</v>
          </cell>
          <cell r="Q112">
            <v>-0.18174886662730133</v>
          </cell>
        </row>
        <row r="113">
          <cell r="A113" t="str">
            <v>3490</v>
          </cell>
          <cell r="B113" t="str">
            <v>Western School Corporation</v>
          </cell>
          <cell r="C113">
            <v>270</v>
          </cell>
          <cell r="D113">
            <v>1.4284429442854346E-3</v>
          </cell>
          <cell r="E113">
            <v>43447.886757593231</v>
          </cell>
          <cell r="F113">
            <v>217.19564021145197</v>
          </cell>
          <cell r="G113">
            <v>2510</v>
          </cell>
          <cell r="H113">
            <v>2.186978849910517E-3</v>
          </cell>
          <cell r="I113">
            <v>16629.927326165678</v>
          </cell>
          <cell r="J113">
            <v>36.995113538730948</v>
          </cell>
          <cell r="K113">
            <v>60332.004837509092</v>
          </cell>
          <cell r="M113">
            <v>46131.120076493389</v>
          </cell>
          <cell r="N113">
            <v>16434.010895568004</v>
          </cell>
          <cell r="O113">
            <v>-2466.0376786887064</v>
          </cell>
          <cell r="P113">
            <v>232.9115441364047</v>
          </cell>
          <cell r="Q113">
            <v>-3.5692822820901783E-2</v>
          </cell>
        </row>
        <row r="114">
          <cell r="A114" t="str">
            <v>3500</v>
          </cell>
          <cell r="B114" t="str">
            <v>Kokomo School Corporation</v>
          </cell>
          <cell r="C114">
            <v>1671</v>
          </cell>
          <cell r="D114">
            <v>8.8404746662998565E-3</v>
          </cell>
          <cell r="E114">
            <v>268894.14359977143</v>
          </cell>
          <cell r="F114">
            <v>1503.4718300830573</v>
          </cell>
          <cell r="G114">
            <v>6798</v>
          </cell>
          <cell r="H114">
            <v>5.9231403273672083E-3</v>
          </cell>
          <cell r="I114">
            <v>45039.938630786564</v>
          </cell>
          <cell r="J114">
            <v>310.04006451885652</v>
          </cell>
          <cell r="K114">
            <v>315747.5941251599</v>
          </cell>
          <cell r="M114">
            <v>293350.80466554989</v>
          </cell>
          <cell r="N114">
            <v>45069.461523571743</v>
          </cell>
          <cell r="O114">
            <v>-22953.189235695405</v>
          </cell>
          <cell r="P114">
            <v>280.51717173367797</v>
          </cell>
          <cell r="Q114">
            <v>-6.699560968754574E-2</v>
          </cell>
        </row>
        <row r="115">
          <cell r="A115" t="str">
            <v>3625</v>
          </cell>
          <cell r="B115" t="str">
            <v>Huntington Co Com Sch Corp</v>
          </cell>
          <cell r="C115">
            <v>750</v>
          </cell>
          <cell r="D115">
            <v>3.9678970674595403E-3</v>
          </cell>
          <cell r="E115">
            <v>120688.57432664785</v>
          </cell>
          <cell r="F115">
            <v>2167.7837097201264</v>
          </cell>
          <cell r="G115">
            <v>5703</v>
          </cell>
          <cell r="H115">
            <v>4.9690599127648121E-3</v>
          </cell>
          <cell r="I115">
            <v>37785.050016383611</v>
          </cell>
          <cell r="J115">
            <v>170.18503521716048</v>
          </cell>
          <cell r="K115">
            <v>160811.59308796877</v>
          </cell>
          <cell r="M115">
            <v>129106.28068061724</v>
          </cell>
          <cell r="N115">
            <v>38282.167663717635</v>
          </cell>
          <cell r="O115">
            <v>-6249.9226442492654</v>
          </cell>
          <cell r="P115">
            <v>-326.93261211686331</v>
          </cell>
          <cell r="Q115">
            <v>-3.9290974505223182E-2</v>
          </cell>
        </row>
        <row r="116">
          <cell r="A116" t="str">
            <v>3640</v>
          </cell>
          <cell r="B116" t="str">
            <v>Medora Community School Corp</v>
          </cell>
          <cell r="C116">
            <v>79</v>
          </cell>
          <cell r="D116">
            <v>4.179518244390716E-4</v>
          </cell>
          <cell r="E116">
            <v>12712.529829073575</v>
          </cell>
          <cell r="F116">
            <v>-101.2479383953978</v>
          </cell>
          <cell r="G116">
            <v>297</v>
          </cell>
          <cell r="H116">
            <v>2.5877797546749938E-4</v>
          </cell>
          <cell r="I116">
            <v>1967.7643091120342</v>
          </cell>
          <cell r="J116">
            <v>5.8471159143311979</v>
          </cell>
          <cell r="K116">
            <v>14584.893315704543</v>
          </cell>
          <cell r="M116">
            <v>11019.771821257667</v>
          </cell>
          <cell r="N116">
            <v>1990.1572145866921</v>
          </cell>
          <cell r="O116">
            <v>1591.5100694205103</v>
          </cell>
          <cell r="P116">
            <v>-16.545789560326739</v>
          </cell>
          <cell r="Q116">
            <v>0.12105863725473938</v>
          </cell>
        </row>
        <row r="117">
          <cell r="A117" t="str">
            <v>3675</v>
          </cell>
          <cell r="B117" t="str">
            <v>Seymour Community Schools</v>
          </cell>
          <cell r="C117">
            <v>753</v>
          </cell>
          <cell r="D117">
            <v>3.9837686557293792E-3</v>
          </cell>
          <cell r="E117">
            <v>121171.32862395447</v>
          </cell>
          <cell r="F117">
            <v>-591.72194509365363</v>
          </cell>
          <cell r="G117">
            <v>4964</v>
          </cell>
          <cell r="H117">
            <v>4.3251645461975319E-3</v>
          </cell>
          <cell r="I117">
            <v>32888.828385293396</v>
          </cell>
          <cell r="J117">
            <v>146.96448315367888</v>
          </cell>
          <cell r="K117">
            <v>153615.3995473079</v>
          </cell>
          <cell r="M117">
            <v>104422.4789282017</v>
          </cell>
          <cell r="N117">
            <v>33119.583956092742</v>
          </cell>
          <cell r="O117">
            <v>16157.127750659114</v>
          </cell>
          <cell r="P117">
            <v>-83.791087645666266</v>
          </cell>
          <cell r="Q117">
            <v>0.11686124466909403</v>
          </cell>
        </row>
        <row r="118">
          <cell r="A118" t="str">
            <v>3695</v>
          </cell>
          <cell r="B118" t="str">
            <v>Brownstown Cnt Com Sch Corp</v>
          </cell>
          <cell r="C118">
            <v>238</v>
          </cell>
          <cell r="D118">
            <v>1.2591460027404943E-3</v>
          </cell>
          <cell r="E118">
            <v>38298.507586322921</v>
          </cell>
          <cell r="F118">
            <v>-169.30101902202659</v>
          </cell>
          <cell r="G118">
            <v>1915</v>
          </cell>
          <cell r="H118">
            <v>1.6685515926608127E-3</v>
          </cell>
          <cell r="I118">
            <v>12687.773238887359</v>
          </cell>
          <cell r="J118">
            <v>417.27332400924024</v>
          </cell>
          <cell r="K118">
            <v>51234.253130197489</v>
          </cell>
          <cell r="M118">
            <v>34305.860235902466</v>
          </cell>
          <cell r="N118">
            <v>13116.857955512349</v>
          </cell>
          <cell r="O118">
            <v>3823.3463313984248</v>
          </cell>
          <cell r="P118">
            <v>-11.811392615749355</v>
          </cell>
          <cell r="Q118">
            <v>8.0373607505963202E-2</v>
          </cell>
        </row>
        <row r="119">
          <cell r="A119" t="str">
            <v>3710</v>
          </cell>
          <cell r="B119" t="str">
            <v>Crothersville Community Schools</v>
          </cell>
          <cell r="C119">
            <v>83</v>
          </cell>
          <cell r="D119">
            <v>4.3911394213218919E-4</v>
          </cell>
          <cell r="E119">
            <v>13356.202225482364</v>
          </cell>
          <cell r="F119">
            <v>-249.00905325258827</v>
          </cell>
          <cell r="G119">
            <v>578</v>
          </cell>
          <cell r="H119">
            <v>5.0361504989971263E-4</v>
          </cell>
          <cell r="I119">
            <v>3829.5211133560801</v>
          </cell>
          <cell r="J119">
            <v>17.962838037876736</v>
          </cell>
          <cell r="K119">
            <v>16954.677123623733</v>
          </cell>
          <cell r="M119">
            <v>11189.754128104849</v>
          </cell>
          <cell r="N119">
            <v>3834.452594484384</v>
          </cell>
          <cell r="O119">
            <v>1917.439044124927</v>
          </cell>
          <cell r="P119">
            <v>13.031356909572878</v>
          </cell>
          <cell r="Q119">
            <v>0.1284906708673007</v>
          </cell>
        </row>
        <row r="120">
          <cell r="A120" t="str">
            <v>3785</v>
          </cell>
          <cell r="B120" t="str">
            <v>Kankakee Valley School Corp</v>
          </cell>
          <cell r="C120">
            <v>370</v>
          </cell>
          <cell r="D120">
            <v>1.9574958866133735E-3</v>
          </cell>
          <cell r="E120">
            <v>59539.696667812947</v>
          </cell>
          <cell r="F120">
            <v>908.85522455934552</v>
          </cell>
          <cell r="G120">
            <v>3619</v>
          </cell>
          <cell r="H120">
            <v>3.1532575529187889E-3</v>
          </cell>
          <cell r="I120">
            <v>23977.572507328121</v>
          </cell>
          <cell r="J120">
            <v>55.351025074858626</v>
          </cell>
          <cell r="K120">
            <v>84481.475424775272</v>
          </cell>
          <cell r="M120">
            <v>68905.947469295221</v>
          </cell>
          <cell r="N120">
            <v>24528.508908700642</v>
          </cell>
          <cell r="O120">
            <v>-8457.3955769229287</v>
          </cell>
          <cell r="P120">
            <v>-495.58537629766215</v>
          </cell>
          <cell r="Q120">
            <v>-9.5820977616658434E-2</v>
          </cell>
        </row>
        <row r="121">
          <cell r="A121" t="str">
            <v>3815</v>
          </cell>
          <cell r="B121" t="str">
            <v>Rensselaer Central School Corp</v>
          </cell>
          <cell r="C121">
            <v>221</v>
          </cell>
          <cell r="D121">
            <v>1.1692070025447446E-3</v>
          </cell>
          <cell r="E121">
            <v>35562.899901585566</v>
          </cell>
          <cell r="F121">
            <v>487.08056766043592</v>
          </cell>
          <cell r="G121">
            <v>1729</v>
          </cell>
          <cell r="H121">
            <v>1.5064886181256111E-3</v>
          </cell>
          <cell r="I121">
            <v>11455.435994796995</v>
          </cell>
          <cell r="J121">
            <v>24.106493042943839</v>
          </cell>
          <cell r="K121">
            <v>47529.522957085937</v>
          </cell>
          <cell r="M121">
            <v>44335.672762863949</v>
          </cell>
          <cell r="N121">
            <v>11784.451011174469</v>
          </cell>
          <cell r="O121">
            <v>-8285.6922936179471</v>
          </cell>
          <cell r="P121">
            <v>-304.9085233345304</v>
          </cell>
          <cell r="Q121">
            <v>-0.15307522933380543</v>
          </cell>
        </row>
        <row r="122">
          <cell r="A122" t="str">
            <v>3945</v>
          </cell>
          <cell r="B122" t="str">
            <v>Jay School Corporation</v>
          </cell>
          <cell r="C122">
            <v>721</v>
          </cell>
          <cell r="D122">
            <v>3.8144717141844384E-3</v>
          </cell>
          <cell r="E122">
            <v>116021.94945268414</v>
          </cell>
          <cell r="F122">
            <v>1716.2097455082112</v>
          </cell>
          <cell r="G122">
            <v>3784</v>
          </cell>
          <cell r="H122">
            <v>3.2970230948451778E-3</v>
          </cell>
          <cell r="I122">
            <v>25070.774901279252</v>
          </cell>
          <cell r="J122">
            <v>68.416472753386188</v>
          </cell>
          <cell r="K122">
            <v>142877.350572225</v>
          </cell>
          <cell r="M122">
            <v>135168.44686134497</v>
          </cell>
          <cell r="N122">
            <v>25791.689718542759</v>
          </cell>
          <cell r="O122">
            <v>-17430.287663152616</v>
          </cell>
          <cell r="P122">
            <v>-652.49834451012066</v>
          </cell>
          <cell r="Q122">
            <v>-0.11234325710632016</v>
          </cell>
        </row>
        <row r="123">
          <cell r="A123" t="str">
            <v>3995</v>
          </cell>
          <cell r="B123" t="str">
            <v>Madison Consolidated Schools</v>
          </cell>
          <cell r="C123">
            <v>671</v>
          </cell>
          <cell r="D123">
            <v>3.5499452430204689E-3</v>
          </cell>
          <cell r="E123">
            <v>107976.04449757429</v>
          </cell>
          <cell r="F123">
            <v>338.3790879506123</v>
          </cell>
          <cell r="G123">
            <v>3245</v>
          </cell>
          <cell r="H123">
            <v>2.8273889912189751E-3</v>
          </cell>
          <cell r="I123">
            <v>21499.647081038893</v>
          </cell>
          <cell r="J123">
            <v>55.161137312596111</v>
          </cell>
          <cell r="K123">
            <v>129869.23180387638</v>
          </cell>
          <cell r="M123">
            <v>92483.97138221885</v>
          </cell>
          <cell r="N123">
            <v>21988.40209463776</v>
          </cell>
          <cell r="O123">
            <v>15830.452203306049</v>
          </cell>
          <cell r="P123">
            <v>-433.59387628627155</v>
          </cell>
          <cell r="Q123">
            <v>0.13450283120173645</v>
          </cell>
        </row>
        <row r="124">
          <cell r="A124" t="str">
            <v>4000</v>
          </cell>
          <cell r="B124" t="str">
            <v>Southwestern-Jefferson Co Con</v>
          </cell>
          <cell r="C124">
            <v>281</v>
          </cell>
          <cell r="D124">
            <v>1.4866387679415079E-3</v>
          </cell>
          <cell r="E124">
            <v>45217.985847717398</v>
          </cell>
          <cell r="F124">
            <v>193.95486844604602</v>
          </cell>
          <cell r="G124">
            <v>1297</v>
          </cell>
          <cell r="H124">
            <v>1.1300842901728846E-3</v>
          </cell>
          <cell r="I124">
            <v>8593.2333633613071</v>
          </cell>
          <cell r="J124">
            <v>55.873804233120609</v>
          </cell>
          <cell r="K124">
            <v>54061.04788375787</v>
          </cell>
          <cell r="M124">
            <v>40706.241135753633</v>
          </cell>
          <cell r="N124">
            <v>8872.8250093339775</v>
          </cell>
          <cell r="O124">
            <v>4705.6995804098115</v>
          </cell>
          <cell r="P124">
            <v>-223.71784173954984</v>
          </cell>
          <cell r="Q124">
            <v>9.0400688983415745E-2</v>
          </cell>
        </row>
        <row r="125">
          <cell r="A125" t="str">
            <v>4015</v>
          </cell>
          <cell r="B125" t="str">
            <v>Jennings County School Corporation</v>
          </cell>
          <cell r="C125">
            <v>935</v>
          </cell>
          <cell r="D125">
            <v>4.9466450107662277E-3</v>
          </cell>
          <cell r="E125">
            <v>150458.42266055435</v>
          </cell>
          <cell r="F125">
            <v>-1375.746310040995</v>
          </cell>
          <cell r="G125">
            <v>4695</v>
          </cell>
          <cell r="H125">
            <v>4.0907831475417832E-3</v>
          </cell>
          <cell r="I125">
            <v>31106.577209700339</v>
          </cell>
          <cell r="J125">
            <v>175.59421775438022</v>
          </cell>
          <cell r="K125">
            <v>180364.84777796807</v>
          </cell>
          <cell r="M125">
            <v>138431.35923988323</v>
          </cell>
          <cell r="N125">
            <v>31144.060491034357</v>
          </cell>
          <cell r="O125">
            <v>10651.317110630131</v>
          </cell>
          <cell r="P125">
            <v>138.11093642036212</v>
          </cell>
          <cell r="Q125">
            <v>6.3626132043023489E-2</v>
          </cell>
        </row>
        <row r="126">
          <cell r="A126" t="str">
            <v>4145</v>
          </cell>
          <cell r="B126" t="str">
            <v>Clark-Pleasant Community Sch Corp</v>
          </cell>
          <cell r="C126">
            <v>701</v>
          </cell>
          <cell r="D126">
            <v>3.7086611257188505E-3</v>
          </cell>
          <cell r="E126">
            <v>112803.5874706402</v>
          </cell>
          <cell r="F126">
            <v>-480.38609158247709</v>
          </cell>
          <cell r="G126">
            <v>6768</v>
          </cell>
          <cell r="H126">
            <v>5.8970011379260471E-3</v>
          </cell>
          <cell r="I126">
            <v>44841.174559159088</v>
          </cell>
          <cell r="J126">
            <v>69.572767983445374</v>
          </cell>
          <cell r="K126">
            <v>157233.94870620026</v>
          </cell>
          <cell r="M126">
            <v>121374.21613204466</v>
          </cell>
          <cell r="N126">
            <v>44657.020685151394</v>
          </cell>
          <cell r="O126">
            <v>-9051.0147529869428</v>
          </cell>
          <cell r="P126">
            <v>253.72664199113933</v>
          </cell>
          <cell r="Q126">
            <v>-5.2985740994520233E-2</v>
          </cell>
        </row>
        <row r="127">
          <cell r="A127" t="str">
            <v>4205</v>
          </cell>
          <cell r="B127" t="str">
            <v>Center Grove Community School Corp</v>
          </cell>
          <cell r="C127">
            <v>447</v>
          </cell>
          <cell r="D127">
            <v>2.3648666522058863E-3</v>
          </cell>
          <cell r="E127">
            <v>71930.390298682134</v>
          </cell>
          <cell r="F127">
            <v>-279.8561552612955</v>
          </cell>
          <cell r="G127">
            <v>8867</v>
          </cell>
          <cell r="H127">
            <v>7.7258730924926501E-3</v>
          </cell>
          <cell r="I127">
            <v>58748.034104028309</v>
          </cell>
          <cell r="J127">
            <v>146.55361544602783</v>
          </cell>
          <cell r="K127">
            <v>130545.12186289518</v>
          </cell>
          <cell r="M127">
            <v>73277.745969301119</v>
          </cell>
          <cell r="N127">
            <v>58181.009634617003</v>
          </cell>
          <cell r="O127">
            <v>-1627.2118258802802</v>
          </cell>
          <cell r="P127">
            <v>713.57808485733403</v>
          </cell>
          <cell r="Q127">
            <v>-6.949964928739334E-3</v>
          </cell>
        </row>
        <row r="128">
          <cell r="A128" t="str">
            <v>4215</v>
          </cell>
          <cell r="B128" t="str">
            <v>Edinburgh Community School Corp</v>
          </cell>
          <cell r="C128">
            <v>182</v>
          </cell>
          <cell r="D128">
            <v>9.6287635503684854E-4</v>
          </cell>
          <cell r="E128">
            <v>29287.094036599883</v>
          </cell>
          <cell r="F128">
            <v>-295.57665063867171</v>
          </cell>
          <cell r="G128">
            <v>892</v>
          </cell>
          <cell r="H128">
            <v>7.7720523271720358E-4</v>
          </cell>
          <cell r="I128">
            <v>5909.9183963903524</v>
          </cell>
          <cell r="J128">
            <v>36.02197854809765</v>
          </cell>
          <cell r="K128">
            <v>34937.457760899655</v>
          </cell>
          <cell r="M128">
            <v>34973.943158546754</v>
          </cell>
          <cell r="N128">
            <v>5883.1224026359878</v>
          </cell>
          <cell r="O128">
            <v>-5982.4257725855423</v>
          </cell>
          <cell r="P128">
            <v>62.817972302462294</v>
          </cell>
          <cell r="Q128">
            <v>-0.14488577970482416</v>
          </cell>
        </row>
        <row r="129">
          <cell r="A129" t="str">
            <v>4225</v>
          </cell>
          <cell r="B129" t="str">
            <v>Franklin Community School Corp</v>
          </cell>
          <cell r="C129">
            <v>724</v>
          </cell>
          <cell r="D129">
            <v>3.8303433024542764E-3</v>
          </cell>
          <cell r="E129">
            <v>116504.70374999073</v>
          </cell>
          <cell r="F129">
            <v>80.231203334216843</v>
          </cell>
          <cell r="G129">
            <v>5684</v>
          </cell>
          <cell r="H129">
            <v>4.9525050927854098E-3</v>
          </cell>
          <cell r="I129">
            <v>37659.166104352873</v>
          </cell>
          <cell r="J129">
            <v>44.923340323250159</v>
          </cell>
          <cell r="K129">
            <v>154289.02439800109</v>
          </cell>
          <cell r="M129">
            <v>118121.91236650887</v>
          </cell>
          <cell r="N129">
            <v>37270.580791416745</v>
          </cell>
          <cell r="O129">
            <v>-1536.9774131839222</v>
          </cell>
          <cell r="P129">
            <v>433.50865325937775</v>
          </cell>
          <cell r="Q129">
            <v>-7.1011716042362972E-3</v>
          </cell>
        </row>
        <row r="130">
          <cell r="A130" t="str">
            <v>4245</v>
          </cell>
          <cell r="B130" t="str">
            <v>Greenwood Community Sch Corp</v>
          </cell>
          <cell r="C130">
            <v>521</v>
          </cell>
          <cell r="D130">
            <v>2.7563658295285611E-3</v>
          </cell>
          <cell r="E130">
            <v>83838.329632244728</v>
          </cell>
          <cell r="F130">
            <v>-213.5427751969255</v>
          </cell>
          <cell r="G130">
            <v>4452</v>
          </cell>
          <cell r="H130">
            <v>3.8790557130683749E-3</v>
          </cell>
          <cell r="I130">
            <v>29496.588229517765</v>
          </cell>
          <cell r="J130">
            <v>114.62489464632381</v>
          </cell>
          <cell r="K130">
            <v>113235.99998121188</v>
          </cell>
          <cell r="M130">
            <v>88754.615302027596</v>
          </cell>
          <cell r="N130">
            <v>29396.427584054793</v>
          </cell>
          <cell r="O130">
            <v>-5129.8284449797939</v>
          </cell>
          <cell r="P130">
            <v>214.78554010929656</v>
          </cell>
          <cell r="Q130">
            <v>-4.1599657394555803E-2</v>
          </cell>
        </row>
        <row r="131">
          <cell r="A131" t="str">
            <v>4255</v>
          </cell>
          <cell r="B131" t="str">
            <v>Nineveh-Hensley-Jackson United</v>
          </cell>
          <cell r="C131">
            <v>217</v>
          </cell>
          <cell r="D131">
            <v>1.1480448848516271E-3</v>
          </cell>
          <cell r="E131">
            <v>34919.227505176779</v>
          </cell>
          <cell r="F131">
            <v>133.70062312653317</v>
          </cell>
          <cell r="G131">
            <v>1953</v>
          </cell>
          <cell r="H131">
            <v>1.7016612326196173E-3</v>
          </cell>
          <cell r="I131">
            <v>12939.541062948831</v>
          </cell>
          <cell r="J131">
            <v>5.2579703064511705</v>
          </cell>
          <cell r="K131">
            <v>47997.727161558592</v>
          </cell>
          <cell r="M131">
            <v>35720.963854016336</v>
          </cell>
          <cell r="N131">
            <v>13009.10348360599</v>
          </cell>
          <cell r="O131">
            <v>-668.03572571302357</v>
          </cell>
          <cell r="P131">
            <v>-64.304450350708066</v>
          </cell>
          <cell r="Q131">
            <v>-1.5028507368762123E-2</v>
          </cell>
        </row>
        <row r="132">
          <cell r="A132" t="str">
            <v>4315</v>
          </cell>
          <cell r="B132" t="str">
            <v>North Knox School Corp</v>
          </cell>
          <cell r="C132">
            <v>270</v>
          </cell>
          <cell r="D132">
            <v>1.4284429442854346E-3</v>
          </cell>
          <cell r="E132">
            <v>43447.886757593231</v>
          </cell>
          <cell r="F132">
            <v>-250.38294292585488</v>
          </cell>
          <cell r="G132">
            <v>1381</v>
          </cell>
          <cell r="H132">
            <v>1.203274020608137E-3</v>
          </cell>
          <cell r="I132">
            <v>9149.7727639182467</v>
          </cell>
          <cell r="J132">
            <v>23.62786755833622</v>
          </cell>
          <cell r="K132">
            <v>52370.904446143963</v>
          </cell>
          <cell r="M132">
            <v>45504.669782503894</v>
          </cell>
          <cell r="N132">
            <v>9230.8267253980921</v>
          </cell>
          <cell r="O132">
            <v>-2307.1659678365177</v>
          </cell>
          <cell r="P132">
            <v>-57.426093921509164</v>
          </cell>
          <cell r="Q132">
            <v>-4.3200340046548373E-2</v>
          </cell>
        </row>
        <row r="133">
          <cell r="A133" t="str">
            <v>4325</v>
          </cell>
          <cell r="B133" t="str">
            <v>South Knox School Corp</v>
          </cell>
          <cell r="C133">
            <v>148</v>
          </cell>
          <cell r="D133">
            <v>7.8299835464534936E-4</v>
          </cell>
          <cell r="E133">
            <v>23815.87866712518</v>
          </cell>
          <cell r="F133">
            <v>264.06077627518607</v>
          </cell>
          <cell r="G133">
            <v>1089</v>
          </cell>
          <cell r="H133">
            <v>9.4885257671416452E-4</v>
          </cell>
          <cell r="I133">
            <v>7215.135800077459</v>
          </cell>
          <cell r="J133">
            <v>18.703683423201255</v>
          </cell>
          <cell r="K133">
            <v>31313.778926901028</v>
          </cell>
          <cell r="M133">
            <v>26954.508199442538</v>
          </cell>
          <cell r="N133">
            <v>7274.6642775684677</v>
          </cell>
          <cell r="O133">
            <v>-2874.568756042172</v>
          </cell>
          <cell r="P133">
            <v>-40.824794067807488</v>
          </cell>
          <cell r="Q133">
            <v>-8.5172773372421309E-2</v>
          </cell>
        </row>
        <row r="134">
          <cell r="A134" t="str">
            <v>4335</v>
          </cell>
          <cell r="B134" t="str">
            <v>Vincennes Community School Corp</v>
          </cell>
          <cell r="C134">
            <v>745</v>
          </cell>
          <cell r="D134">
            <v>3.9414444203431436E-3</v>
          </cell>
          <cell r="E134">
            <v>119883.98383113688</v>
          </cell>
          <cell r="F134">
            <v>850.71766093747283</v>
          </cell>
          <cell r="G134">
            <v>3100</v>
          </cell>
          <cell r="H134">
            <v>2.7010495755866943E-3</v>
          </cell>
          <cell r="I134">
            <v>20538.954068172749</v>
          </cell>
          <cell r="J134">
            <v>142.90595079980267</v>
          </cell>
          <cell r="K134">
            <v>141416.56151104689</v>
          </cell>
          <cell r="M134">
            <v>124611.78041479086</v>
          </cell>
          <cell r="N134">
            <v>20759.887876005632</v>
          </cell>
          <cell r="O134">
            <v>-3877.0789227165078</v>
          </cell>
          <cell r="P134">
            <v>-78.027857033081091</v>
          </cell>
          <cell r="Q134">
            <v>-2.7206861049691809E-2</v>
          </cell>
        </row>
        <row r="135">
          <cell r="A135" t="str">
            <v>4345</v>
          </cell>
          <cell r="B135" t="str">
            <v>Wawasee Community School Corp</v>
          </cell>
          <cell r="C135">
            <v>346</v>
          </cell>
          <cell r="D135">
            <v>1.8305231804546681E-3</v>
          </cell>
          <cell r="E135">
            <v>55677.662289360211</v>
          </cell>
          <cell r="F135">
            <v>457.13790589554264</v>
          </cell>
          <cell r="G135">
            <v>3282</v>
          </cell>
          <cell r="H135">
            <v>2.8596273248630744E-3</v>
          </cell>
          <cell r="I135">
            <v>21744.789436046118</v>
          </cell>
          <cell r="J135">
            <v>98.996958199873916</v>
          </cell>
          <cell r="K135">
            <v>77978.586589501749</v>
          </cell>
          <cell r="M135">
            <v>62893.720270804894</v>
          </cell>
          <cell r="N135">
            <v>22138.067787454227</v>
          </cell>
          <cell r="O135">
            <v>-6758.9200755491402</v>
          </cell>
          <cell r="P135">
            <v>-294.28139320823539</v>
          </cell>
          <cell r="Q135">
            <v>-8.2947820219009261E-2</v>
          </cell>
        </row>
        <row r="136">
          <cell r="A136" t="str">
            <v>4415</v>
          </cell>
          <cell r="B136" t="str">
            <v>Warsaw Community Schools</v>
          </cell>
          <cell r="C136">
            <v>904</v>
          </cell>
          <cell r="D136">
            <v>4.7826385986445667E-3</v>
          </cell>
          <cell r="E136">
            <v>145469.96158838624</v>
          </cell>
          <cell r="F136">
            <v>2285.4195956107869</v>
          </cell>
          <cell r="G136">
            <v>7099</v>
          </cell>
          <cell r="H136">
            <v>6.1854035280935298E-3</v>
          </cell>
          <cell r="I136">
            <v>47034.204816115598</v>
          </cell>
          <cell r="J136">
            <v>164.03074353492411</v>
          </cell>
          <cell r="K136">
            <v>194953.61674364755</v>
          </cell>
          <cell r="M136">
            <v>147494.16331450935</v>
          </cell>
          <cell r="N136">
            <v>47853.61678162733</v>
          </cell>
          <cell r="O136">
            <v>261.2178694876784</v>
          </cell>
          <cell r="P136">
            <v>-655.38122197680786</v>
          </cell>
          <cell r="Q136">
            <v>-2.0177518899633746E-3</v>
          </cell>
        </row>
        <row r="137">
          <cell r="A137" t="str">
            <v>4445</v>
          </cell>
          <cell r="B137" t="str">
            <v>Tippecanoe Valley School Corp</v>
          </cell>
          <cell r="C137">
            <v>326</v>
          </cell>
          <cell r="D137">
            <v>1.7247125919890804E-3</v>
          </cell>
          <cell r="E137">
            <v>52459.300307316276</v>
          </cell>
          <cell r="F137">
            <v>775.84367378298339</v>
          </cell>
          <cell r="G137">
            <v>2089</v>
          </cell>
          <cell r="H137">
            <v>1.8201588914195496E-3</v>
          </cell>
          <cell r="I137">
            <v>13840.604854326732</v>
          </cell>
          <cell r="J137">
            <v>24.290989280039867</v>
          </cell>
          <cell r="K137">
            <v>67100.039824706037</v>
          </cell>
          <cell r="M137">
            <v>42400.231917055884</v>
          </cell>
          <cell r="N137">
            <v>14079.82085487593</v>
          </cell>
          <cell r="O137">
            <v>10834.912064043376</v>
          </cell>
          <cell r="P137">
            <v>-214.92501126915886</v>
          </cell>
          <cell r="Q137">
            <v>0.18803075655148643</v>
          </cell>
        </row>
        <row r="138">
          <cell r="A138" t="str">
            <v>4455</v>
          </cell>
          <cell r="B138" t="str">
            <v>Whitko Community School Corp</v>
          </cell>
          <cell r="C138">
            <v>279</v>
          </cell>
          <cell r="D138">
            <v>1.4760577090949492E-3</v>
          </cell>
          <cell r="E138">
            <v>44896.149649513012</v>
          </cell>
          <cell r="F138">
            <v>1233.1967714616767</v>
          </cell>
          <cell r="G138">
            <v>1912</v>
          </cell>
          <cell r="H138">
            <v>1.6659376737166965E-3</v>
          </cell>
          <cell r="I138">
            <v>12667.896831724611</v>
          </cell>
          <cell r="J138">
            <v>-6.936259966909347</v>
          </cell>
          <cell r="K138">
            <v>58790.306992732389</v>
          </cell>
          <cell r="M138">
            <v>49689.068581378597</v>
          </cell>
          <cell r="N138">
            <v>12600.047233598156</v>
          </cell>
          <cell r="O138">
            <v>-3559.7221604039078</v>
          </cell>
          <cell r="P138">
            <v>60.913338159545674</v>
          </cell>
          <cell r="Q138">
            <v>-5.6170468571703679E-2</v>
          </cell>
        </row>
        <row r="139">
          <cell r="A139" t="str">
            <v>4515</v>
          </cell>
          <cell r="B139" t="str">
            <v>Prairie Heights Community Sch Corp</v>
          </cell>
          <cell r="C139">
            <v>158</v>
          </cell>
          <cell r="D139">
            <v>8.359036488781432E-4</v>
          </cell>
          <cell r="E139">
            <v>25425.059658147151</v>
          </cell>
          <cell r="F139">
            <v>-433.72008148532768</v>
          </cell>
          <cell r="G139">
            <v>1576</v>
          </cell>
          <cell r="H139">
            <v>1.3731787519756871E-3</v>
          </cell>
          <cell r="I139">
            <v>10441.739229496856</v>
          </cell>
          <cell r="J139">
            <v>24.484997418965577</v>
          </cell>
          <cell r="K139">
            <v>35457.563803577643</v>
          </cell>
          <cell r="M139">
            <v>37377.747101335088</v>
          </cell>
          <cell r="N139">
            <v>10501.642318409031</v>
          </cell>
          <cell r="O139">
            <v>-12386.407524673265</v>
          </cell>
          <cell r="P139">
            <v>-35.418091493209431</v>
          </cell>
          <cell r="Q139">
            <v>-0.2594399336897989</v>
          </cell>
        </row>
        <row r="140">
          <cell r="A140" t="str">
            <v>4525</v>
          </cell>
          <cell r="B140" t="str">
            <v>Westview School Corporation</v>
          </cell>
          <cell r="C140">
            <v>523</v>
          </cell>
          <cell r="D140">
            <v>2.7669468883751197E-3</v>
          </cell>
          <cell r="E140">
            <v>84160.165830449114</v>
          </cell>
          <cell r="F140">
            <v>-953.93282018047466</v>
          </cell>
          <cell r="G140">
            <v>5534</v>
          </cell>
          <cell r="H140">
            <v>4.821809145579602E-3</v>
          </cell>
          <cell r="I140">
            <v>36665.345746215484</v>
          </cell>
          <cell r="J140">
            <v>10.863388878613478</v>
          </cell>
          <cell r="K140">
            <v>119882.44214536273</v>
          </cell>
          <cell r="M140">
            <v>84677.919329148106</v>
          </cell>
          <cell r="N140">
            <v>36727.214581312866</v>
          </cell>
          <cell r="O140">
            <v>-1471.6863188794669</v>
          </cell>
          <cell r="P140">
            <v>-51.005446218769066</v>
          </cell>
          <cell r="Q140">
            <v>-1.2542235373845519E-2</v>
          </cell>
        </row>
        <row r="141">
          <cell r="A141" t="str">
            <v>4535</v>
          </cell>
          <cell r="B141" t="str">
            <v>Lakeland School Corporation</v>
          </cell>
          <cell r="C141">
            <v>391</v>
          </cell>
          <cell r="D141">
            <v>2.0685970045022407E-3</v>
          </cell>
          <cell r="E141">
            <v>62918.976748959096</v>
          </cell>
          <cell r="F141">
            <v>-246.98003996364423</v>
          </cell>
          <cell r="G141">
            <v>3077</v>
          </cell>
          <cell r="H141">
            <v>2.6810095303484703E-3</v>
          </cell>
          <cell r="I141">
            <v>20386.568279925013</v>
          </cell>
          <cell r="J141">
            <v>54.94691368182248</v>
          </cell>
          <cell r="K141">
            <v>83113.511902602288</v>
          </cell>
          <cell r="M141">
            <v>71880.776686929094</v>
          </cell>
          <cell r="N141">
            <v>20486.726563011565</v>
          </cell>
          <cell r="O141">
            <v>-9208.7799779336419</v>
          </cell>
          <cell r="P141">
            <v>-45.211369404729339</v>
          </cell>
          <cell r="Q141">
            <v>-0.10018665679744154</v>
          </cell>
        </row>
        <row r="142">
          <cell r="A142" t="str">
            <v>4580</v>
          </cell>
          <cell r="B142" t="str">
            <v>Hanover Community School Corp</v>
          </cell>
          <cell r="C142">
            <v>144</v>
          </cell>
          <cell r="D142">
            <v>7.6183623695223182E-4</v>
          </cell>
          <cell r="E142">
            <v>23172.20627071639</v>
          </cell>
          <cell r="F142">
            <v>-483.2944582505479</v>
          </cell>
          <cell r="G142">
            <v>2098</v>
          </cell>
          <cell r="H142">
            <v>1.8280006482518981E-3</v>
          </cell>
          <cell r="I142">
            <v>13900.234075814977</v>
          </cell>
          <cell r="J142">
            <v>42.148590638325913</v>
          </cell>
          <cell r="K142">
            <v>36631.294478919146</v>
          </cell>
          <cell r="M142">
            <v>21282.12992849902</v>
          </cell>
          <cell r="N142">
            <v>14091.06408923864</v>
          </cell>
          <cell r="O142">
            <v>1406.7818839668216</v>
          </cell>
          <cell r="P142">
            <v>-148.68142278533742</v>
          </cell>
          <cell r="Q142">
            <v>3.5566493106351037E-2</v>
          </cell>
        </row>
        <row r="143">
          <cell r="A143" t="str">
            <v>4590</v>
          </cell>
          <cell r="B143" t="str">
            <v>River Forest Community Sch Corp</v>
          </cell>
          <cell r="C143">
            <v>445</v>
          </cell>
          <cell r="D143">
            <v>2.3542855933593276E-3</v>
          </cell>
          <cell r="E143">
            <v>71608.554100477733</v>
          </cell>
          <cell r="F143">
            <v>-458.67024111880164</v>
          </cell>
          <cell r="G143">
            <v>1249</v>
          </cell>
          <cell r="H143">
            <v>1.0882615870670262E-3</v>
          </cell>
          <cell r="I143">
            <v>8275.2108487573423</v>
          </cell>
          <cell r="J143">
            <v>36.501714476448797</v>
          </cell>
          <cell r="K143">
            <v>79461.596422592716</v>
          </cell>
          <cell r="M143">
            <v>61660.168702086165</v>
          </cell>
          <cell r="N143">
            <v>8390.4472298870896</v>
          </cell>
          <cell r="O143">
            <v>9489.7151572727671</v>
          </cell>
          <cell r="P143">
            <v>-78.734666653297609</v>
          </cell>
          <cell r="Q143">
            <v>0.13434543530293228</v>
          </cell>
        </row>
        <row r="144">
          <cell r="A144" t="str">
            <v>4600</v>
          </cell>
          <cell r="B144" t="str">
            <v>Merrillville Community School Corp</v>
          </cell>
          <cell r="C144">
            <v>1584</v>
          </cell>
          <cell r="D144">
            <v>8.3801986064745496E-3</v>
          </cell>
          <cell r="E144">
            <v>254894.26897788027</v>
          </cell>
          <cell r="F144">
            <v>898.4752345426532</v>
          </cell>
          <cell r="G144">
            <v>7056</v>
          </cell>
          <cell r="H144">
            <v>6.1479373565611981E-3</v>
          </cell>
          <cell r="I144">
            <v>46749.309646782873</v>
          </cell>
          <cell r="J144">
            <v>137.94353456567478</v>
          </cell>
          <cell r="K144">
            <v>302679.99739377148</v>
          </cell>
          <cell r="M144">
            <v>212674.46580050743</v>
          </cell>
          <cell r="N144">
            <v>47847.372673644808</v>
          </cell>
          <cell r="O144">
            <v>43118.278411915497</v>
          </cell>
          <cell r="P144">
            <v>-960.11949229626043</v>
          </cell>
          <cell r="Q144">
            <v>0.1618219768697125</v>
          </cell>
        </row>
        <row r="145">
          <cell r="A145" t="str">
            <v>4615</v>
          </cell>
          <cell r="B145" t="str">
            <v>Lake Central School Corporation</v>
          </cell>
          <cell r="C145">
            <v>845</v>
          </cell>
          <cell r="D145">
            <v>4.4704973626710828E-3</v>
          </cell>
          <cell r="E145">
            <v>135975.79374135661</v>
          </cell>
          <cell r="F145">
            <v>1188.8050900042726</v>
          </cell>
          <cell r="G145">
            <v>10693</v>
          </cell>
          <cell r="H145">
            <v>9.3168784231446831E-3</v>
          </cell>
          <cell r="I145">
            <v>70846.140597087477</v>
          </cell>
          <cell r="J145">
            <v>91.923477686927072</v>
          </cell>
          <cell r="K145">
            <v>208102.66290613526</v>
          </cell>
          <cell r="M145">
            <v>125108.73955470983</v>
          </cell>
          <cell r="N145">
            <v>71659.374369803409</v>
          </cell>
          <cell r="O145">
            <v>12055.859276651041</v>
          </cell>
          <cell r="P145">
            <v>-721.31029502900492</v>
          </cell>
          <cell r="Q145">
            <v>5.7603586046316151E-2</v>
          </cell>
        </row>
        <row r="146">
          <cell r="A146" t="str">
            <v>4645</v>
          </cell>
          <cell r="B146" t="str">
            <v>Tri-Creek School Corporation</v>
          </cell>
          <cell r="C146">
            <v>353</v>
          </cell>
          <cell r="D146">
            <v>1.8675568864176238E-3</v>
          </cell>
          <cell r="E146">
            <v>56804.088983075599</v>
          </cell>
          <cell r="F146">
            <v>-363.21782667692605</v>
          </cell>
          <cell r="G146">
            <v>3562</v>
          </cell>
          <cell r="H146">
            <v>3.103593092980582E-3</v>
          </cell>
          <cell r="I146">
            <v>23599.920771235913</v>
          </cell>
          <cell r="J146">
            <v>84.521253578725009</v>
          </cell>
          <cell r="K146">
            <v>80125.313181213322</v>
          </cell>
          <cell r="M146">
            <v>53812.035573918714</v>
          </cell>
          <cell r="N146">
            <v>24021.915410562971</v>
          </cell>
          <cell r="O146">
            <v>2628.8355824799582</v>
          </cell>
          <cell r="P146">
            <v>-337.47338574833338</v>
          </cell>
          <cell r="Q146">
            <v>2.9439109382851065E-2</v>
          </cell>
        </row>
        <row r="147">
          <cell r="A147" t="str">
            <v>4650</v>
          </cell>
          <cell r="B147" t="str">
            <v>Lake Ridge New Tech Schools</v>
          </cell>
          <cell r="C147">
            <v>804</v>
          </cell>
          <cell r="D147">
            <v>4.2535856563166276E-3</v>
          </cell>
          <cell r="E147">
            <v>129378.15167816651</v>
          </cell>
          <cell r="F147">
            <v>-33.462439483977505</v>
          </cell>
          <cell r="G147">
            <v>1989</v>
          </cell>
          <cell r="H147">
            <v>1.7330282599490111E-3</v>
          </cell>
          <cell r="I147">
            <v>13178.057948901804</v>
          </cell>
          <cell r="J147">
            <v>128.61451361463878</v>
          </cell>
          <cell r="K147">
            <v>142651.361701199</v>
          </cell>
          <cell r="M147">
            <v>121662.26807329099</v>
          </cell>
          <cell r="N147">
            <v>13397.034706737159</v>
          </cell>
          <cell r="O147">
            <v>7682.4211653915409</v>
          </cell>
          <cell r="P147">
            <v>-90.362244220716093</v>
          </cell>
          <cell r="Q147">
            <v>5.6212780348318947E-2</v>
          </cell>
        </row>
        <row r="148">
          <cell r="A148" t="str">
            <v>4660</v>
          </cell>
          <cell r="B148" t="str">
            <v>Crown Point Community School Corp</v>
          </cell>
          <cell r="C148">
            <v>586</v>
          </cell>
          <cell r="D148">
            <v>3.100250242041721E-3</v>
          </cell>
          <cell r="E148">
            <v>94298.006073887533</v>
          </cell>
          <cell r="F148">
            <v>-251.35897234037111</v>
          </cell>
          <cell r="G148">
            <v>7144</v>
          </cell>
          <cell r="H148">
            <v>6.224612312255272E-3</v>
          </cell>
          <cell r="I148">
            <v>47332.350923556813</v>
          </cell>
          <cell r="J148">
            <v>132.71782652683032</v>
          </cell>
          <cell r="K148">
            <v>141511.71585163078</v>
          </cell>
          <cell r="M148">
            <v>84427.262911875107</v>
          </cell>
          <cell r="N148">
            <v>47848.761332601534</v>
          </cell>
          <cell r="O148">
            <v>9619.3841896720551</v>
          </cell>
          <cell r="P148">
            <v>-383.69258251789142</v>
          </cell>
          <cell r="Q148">
            <v>6.98213577245448E-2</v>
          </cell>
        </row>
        <row r="149">
          <cell r="A149" t="str">
            <v>4670</v>
          </cell>
          <cell r="B149" t="str">
            <v>School City of East Chicago</v>
          </cell>
          <cell r="C149">
            <v>2193</v>
          </cell>
          <cell r="D149">
            <v>1.1602131025251696E-2</v>
          </cell>
          <cell r="E149">
            <v>352893.39133111836</v>
          </cell>
          <cell r="F149">
            <v>-4618.2756433447939</v>
          </cell>
          <cell r="G149">
            <v>4954</v>
          </cell>
          <cell r="H149">
            <v>4.3164514830504779E-3</v>
          </cell>
          <cell r="I149">
            <v>32822.573694750899</v>
          </cell>
          <cell r="J149">
            <v>93.482047819223226</v>
          </cell>
          <cell r="K149">
            <v>381191.1714303437</v>
          </cell>
          <cell r="M149">
            <v>321863.09015789873</v>
          </cell>
          <cell r="N149">
            <v>32993.343483806966</v>
          </cell>
          <cell r="O149">
            <v>26412.025529874838</v>
          </cell>
          <cell r="P149">
            <v>-77.287741236839793</v>
          </cell>
          <cell r="Q149">
            <v>7.4212372362474535E-2</v>
          </cell>
        </row>
        <row r="150">
          <cell r="A150" t="str">
            <v>4680</v>
          </cell>
          <cell r="B150" t="str">
            <v>Lake Station Community Schools</v>
          </cell>
          <cell r="C150">
            <v>386</v>
          </cell>
          <cell r="D150">
            <v>2.0421443573858437E-3</v>
          </cell>
          <cell r="E150">
            <v>62114.386253448101</v>
          </cell>
          <cell r="F150">
            <v>487.83109827651788</v>
          </cell>
          <cell r="G150">
            <v>1364</v>
          </cell>
          <cell r="H150">
            <v>1.1884618132581453E-3</v>
          </cell>
          <cell r="I150">
            <v>9037.1397899960084</v>
          </cell>
          <cell r="J150">
            <v>109.73980930061953</v>
          </cell>
          <cell r="K150">
            <v>71749.096951021245</v>
          </cell>
          <cell r="M150">
            <v>53550.982522906852</v>
          </cell>
          <cell r="N150">
            <v>9323.5530341359481</v>
          </cell>
          <cell r="O150">
            <v>9051.2348288177673</v>
          </cell>
          <cell r="P150">
            <v>-176.67343483932018</v>
          </cell>
          <cell r="Q150">
            <v>0.14114714829069422</v>
          </cell>
        </row>
        <row r="151">
          <cell r="A151" t="str">
            <v>4690</v>
          </cell>
          <cell r="B151" t="str">
            <v>Gary Community School Corp</v>
          </cell>
          <cell r="C151">
            <v>3506</v>
          </cell>
          <cell r="D151">
            <v>1.8548596158017534E-2</v>
          </cell>
          <cell r="E151">
            <v>564178.85545230319</v>
          </cell>
          <cell r="F151">
            <v>5493.6023867816548</v>
          </cell>
          <cell r="G151">
            <v>8278</v>
          </cell>
          <cell r="H151">
            <v>7.2126736731311786E-3</v>
          </cell>
          <cell r="I151">
            <v>54845.632831075483</v>
          </cell>
          <cell r="J151">
            <v>-576.16431698245287</v>
          </cell>
          <cell r="K151">
            <v>623941.92635317775</v>
          </cell>
          <cell r="M151">
            <v>485762.78429294185</v>
          </cell>
          <cell r="N151">
            <v>54256.938076330451</v>
          </cell>
          <cell r="O151">
            <v>83909.673546142934</v>
          </cell>
          <cell r="P151">
            <v>12.530437762579822</v>
          </cell>
          <cell r="Q151">
            <v>0.15540581298717543</v>
          </cell>
        </row>
        <row r="152">
          <cell r="A152" t="str">
            <v>4700</v>
          </cell>
          <cell r="B152" t="str">
            <v>Griffith Public Schools</v>
          </cell>
          <cell r="C152">
            <v>461</v>
          </cell>
          <cell r="D152">
            <v>2.4389340641317978E-3</v>
          </cell>
          <cell r="E152">
            <v>74183.243686112895</v>
          </cell>
          <cell r="F152">
            <v>258.60959545416699</v>
          </cell>
          <cell r="G152">
            <v>2668</v>
          </cell>
          <cell r="H152">
            <v>2.3246452476339678E-3</v>
          </cell>
          <cell r="I152">
            <v>17676.751436737064</v>
          </cell>
          <cell r="J152">
            <v>85.769283588790131</v>
          </cell>
          <cell r="K152">
            <v>92204.374001892909</v>
          </cell>
          <cell r="M152">
            <v>69367.803816155341</v>
          </cell>
          <cell r="N152">
            <v>17984.246373613485</v>
          </cell>
          <cell r="O152">
            <v>5074.049465411721</v>
          </cell>
          <cell r="P152">
            <v>-221.72565328763085</v>
          </cell>
          <cell r="Q152">
            <v>5.5549054676823403E-2</v>
          </cell>
        </row>
        <row r="153">
          <cell r="A153" t="str">
            <v>4710</v>
          </cell>
          <cell r="B153" t="str">
            <v>School City of Hammond</v>
          </cell>
          <cell r="C153">
            <v>4231</v>
          </cell>
          <cell r="D153">
            <v>2.2384229989895088E-2</v>
          </cell>
          <cell r="E153">
            <v>680844.47730139608</v>
          </cell>
          <cell r="F153">
            <v>-514.83210282179061</v>
          </cell>
          <cell r="G153">
            <v>13822</v>
          </cell>
          <cell r="H153">
            <v>1.2043195881857835E-2</v>
          </cell>
          <cell r="I153">
            <v>91577.233267833464</v>
          </cell>
          <cell r="J153">
            <v>356.31534768911661</v>
          </cell>
          <cell r="K153">
            <v>772263.19381409686</v>
          </cell>
          <cell r="M153">
            <v>623692.11983541946</v>
          </cell>
          <cell r="N153">
            <v>93096.354992639695</v>
          </cell>
          <cell r="O153">
            <v>56637.525363154826</v>
          </cell>
          <cell r="P153">
            <v>-1162.8063771171146</v>
          </cell>
          <cell r="Q153">
            <v>7.7393430466840024E-2</v>
          </cell>
        </row>
        <row r="154">
          <cell r="A154" t="str">
            <v>4720</v>
          </cell>
          <cell r="B154" t="str">
            <v>School Town of Highland</v>
          </cell>
          <cell r="C154">
            <v>383</v>
          </cell>
          <cell r="D154">
            <v>2.0262727691160052E-3</v>
          </cell>
          <cell r="E154">
            <v>61631.6319561415</v>
          </cell>
          <cell r="F154">
            <v>-214.09476456345146</v>
          </cell>
          <cell r="G154">
            <v>3360</v>
          </cell>
          <cell r="H154">
            <v>2.9275892174100942E-3</v>
          </cell>
          <cell r="I154">
            <v>22261.576022277561</v>
          </cell>
          <cell r="J154">
            <v>17.266005263918487</v>
          </cell>
          <cell r="K154">
            <v>83696.379219119524</v>
          </cell>
          <cell r="M154">
            <v>53961.158636032189</v>
          </cell>
          <cell r="N154">
            <v>22545.799992190787</v>
          </cell>
          <cell r="O154">
            <v>7456.3785555458599</v>
          </cell>
          <cell r="P154">
            <v>-266.95796464930754</v>
          </cell>
          <cell r="Q154">
            <v>9.3970806313615721E-2</v>
          </cell>
        </row>
        <row r="155">
          <cell r="A155" t="str">
            <v>4730</v>
          </cell>
          <cell r="B155" t="str">
            <v>School City of Hobart</v>
          </cell>
          <cell r="C155">
            <v>702</v>
          </cell>
          <cell r="D155">
            <v>3.7139516551421303E-3</v>
          </cell>
          <cell r="E155">
            <v>112964.50556974241</v>
          </cell>
          <cell r="F155">
            <v>100.23856972782232</v>
          </cell>
          <cell r="G155">
            <v>3680</v>
          </cell>
          <cell r="H155">
            <v>3.2064072381158175E-3</v>
          </cell>
          <cell r="I155">
            <v>24381.726119637326</v>
          </cell>
          <cell r="J155">
            <v>49.695178493166168</v>
          </cell>
          <cell r="K155">
            <v>137496.16543760072</v>
          </cell>
          <cell r="M155">
            <v>88115.166381839212</v>
          </cell>
          <cell r="N155">
            <v>24608.839833061418</v>
          </cell>
          <cell r="O155">
            <v>24949.577757631021</v>
          </cell>
          <cell r="P155">
            <v>-177.4185349309264</v>
          </cell>
          <cell r="Q155">
            <v>0.21975939335826714</v>
          </cell>
        </row>
        <row r="156">
          <cell r="A156" t="str">
            <v>4740</v>
          </cell>
          <cell r="B156" t="str">
            <v>School Town of Munster</v>
          </cell>
          <cell r="C156">
            <v>267</v>
          </cell>
          <cell r="D156">
            <v>1.4125713560155964E-3</v>
          </cell>
          <cell r="E156">
            <v>42965.132460286637</v>
          </cell>
          <cell r="F156">
            <v>-736.71268565361243</v>
          </cell>
          <cell r="G156">
            <v>4040</v>
          </cell>
          <cell r="H156">
            <v>3.5200775114097561E-3</v>
          </cell>
          <cell r="I156">
            <v>26766.894979167064</v>
          </cell>
          <cell r="J156">
            <v>28.928007387032267</v>
          </cell>
          <cell r="K156">
            <v>69024.242761187124</v>
          </cell>
          <cell r="M156">
            <v>35962.652521201504</v>
          </cell>
          <cell r="N156">
            <v>27101.532120273609</v>
          </cell>
          <cell r="O156">
            <v>6265.7672534315207</v>
          </cell>
          <cell r="P156">
            <v>-305.70913371951247</v>
          </cell>
          <cell r="Q156">
            <v>9.4507812216956602E-2</v>
          </cell>
        </row>
        <row r="157">
          <cell r="A157" t="str">
            <v>4760</v>
          </cell>
          <cell r="B157" t="str">
            <v>School City of Whiting</v>
          </cell>
          <cell r="C157">
            <v>190</v>
          </cell>
          <cell r="D157">
            <v>1.0052005904230836E-3</v>
          </cell>
          <cell r="E157">
            <v>30574.438829417461</v>
          </cell>
          <cell r="F157">
            <v>-30.781835508103541</v>
          </cell>
          <cell r="G157">
            <v>796</v>
          </cell>
          <cell r="H157">
            <v>6.9355982650548661E-4</v>
          </cell>
          <cell r="I157">
            <v>5273.873367182422</v>
          </cell>
          <cell r="J157">
            <v>36.66646507645055</v>
          </cell>
          <cell r="K157">
            <v>35854.196826168227</v>
          </cell>
          <cell r="M157">
            <v>27454.024141920185</v>
          </cell>
          <cell r="N157">
            <v>5328.1600615360794</v>
          </cell>
          <cell r="O157">
            <v>3089.6328519891722</v>
          </cell>
          <cell r="P157">
            <v>-17.620229277206818</v>
          </cell>
          <cell r="Q157">
            <v>9.3709821275059502E-2</v>
          </cell>
        </row>
        <row r="158">
          <cell r="A158" t="str">
            <v>4805</v>
          </cell>
          <cell r="B158" t="str">
            <v>New Prairie United School Corp</v>
          </cell>
          <cell r="C158">
            <v>417</v>
          </cell>
          <cell r="D158">
            <v>2.2061507695075046E-3</v>
          </cell>
          <cell r="E158">
            <v>67102.847325616211</v>
          </cell>
          <cell r="F158">
            <v>-194.56950468778086</v>
          </cell>
          <cell r="G158">
            <v>2696</v>
          </cell>
          <cell r="H158">
            <v>2.3490418244457184E-3</v>
          </cell>
          <cell r="I158">
            <v>17862.26457025604</v>
          </cell>
          <cell r="J158">
            <v>37.527315248804371</v>
          </cell>
          <cell r="K158">
            <v>84808.069706433278</v>
          </cell>
          <cell r="M158">
            <v>53980.68389590786</v>
          </cell>
          <cell r="N158">
            <v>18028.605543211543</v>
          </cell>
          <cell r="O158">
            <v>12927.59392502057</v>
          </cell>
          <cell r="P158">
            <v>-128.813657706698</v>
          </cell>
          <cell r="Q158">
            <v>0.17773790530365757</v>
          </cell>
        </row>
        <row r="159">
          <cell r="A159" t="str">
            <v>4860</v>
          </cell>
          <cell r="B159" t="str">
            <v>MSD of New Durham Township</v>
          </cell>
          <cell r="C159">
            <v>119</v>
          </cell>
          <cell r="D159">
            <v>6.2957300137024715E-4</v>
          </cell>
          <cell r="E159">
            <v>19149.253793161461</v>
          </cell>
          <cell r="F159">
            <v>48.942660129592696</v>
          </cell>
          <cell r="G159">
            <v>867</v>
          </cell>
          <cell r="H159">
            <v>7.5542257484956894E-4</v>
          </cell>
          <cell r="I159">
            <v>5744.28167003412</v>
          </cell>
          <cell r="J159">
            <v>23.805655945907347</v>
          </cell>
          <cell r="K159">
            <v>24966.283779271082</v>
          </cell>
          <cell r="M159">
            <v>15936.113745348253</v>
          </cell>
          <cell r="N159">
            <v>5877.520447029372</v>
          </cell>
          <cell r="O159">
            <v>3262.0827079428</v>
          </cell>
          <cell r="P159">
            <v>-109.43312104934466</v>
          </cell>
          <cell r="Q159">
            <v>0.14452656348271811</v>
          </cell>
        </row>
        <row r="160">
          <cell r="A160" t="str">
            <v>4915</v>
          </cell>
          <cell r="B160" t="str">
            <v>Tri-Township Cons School Corp</v>
          </cell>
          <cell r="C160">
            <v>51</v>
          </cell>
          <cell r="D160">
            <v>2.6981700058724878E-4</v>
          </cell>
          <cell r="E160">
            <v>8206.8230542120546</v>
          </cell>
          <cell r="F160">
            <v>135.48321863486944</v>
          </cell>
          <cell r="G160">
            <v>454</v>
          </cell>
          <cell r="H160">
            <v>3.9557306687624486E-4</v>
          </cell>
          <cell r="I160">
            <v>3007.9629506291699</v>
          </cell>
          <cell r="J160">
            <v>41.509460477537687</v>
          </cell>
          <cell r="K160">
            <v>11391.778683953631</v>
          </cell>
          <cell r="M160">
            <v>6013.736520165774</v>
          </cell>
          <cell r="N160">
            <v>3064.2751774551007</v>
          </cell>
          <cell r="O160">
            <v>2328.5697526811491</v>
          </cell>
          <cell r="P160">
            <v>-14.802766348393106</v>
          </cell>
          <cell r="Q160">
            <v>0.25487596440739752</v>
          </cell>
        </row>
        <row r="161">
          <cell r="A161" t="str">
            <v>4925</v>
          </cell>
          <cell r="B161" t="str">
            <v>Michigan City Area Schools</v>
          </cell>
          <cell r="C161">
            <v>2210</v>
          </cell>
          <cell r="D161">
            <v>1.1692070025447447E-2</v>
          </cell>
          <cell r="E161">
            <v>355628.99901585572</v>
          </cell>
          <cell r="F161">
            <v>1351.0482175805955</v>
          </cell>
          <cell r="G161">
            <v>6784</v>
          </cell>
          <cell r="H161">
            <v>5.9109420389613331E-3</v>
          </cell>
          <cell r="I161">
            <v>44947.182064027074</v>
          </cell>
          <cell r="J161">
            <v>184.16975295543671</v>
          </cell>
          <cell r="K161">
            <v>402111.39905041881</v>
          </cell>
          <cell r="M161">
            <v>310515.3975359358</v>
          </cell>
          <cell r="N161">
            <v>45565.341709592329</v>
          </cell>
          <cell r="O161">
            <v>46464.649697500514</v>
          </cell>
          <cell r="P161">
            <v>-433.98989260981762</v>
          </cell>
          <cell r="Q161">
            <v>0.12927028825659453</v>
          </cell>
        </row>
        <row r="162">
          <cell r="A162" t="str">
            <v>4940</v>
          </cell>
          <cell r="B162" t="str">
            <v>South Central Com School Corp</v>
          </cell>
          <cell r="C162">
            <v>61</v>
          </cell>
          <cell r="D162">
            <v>3.2272229482004262E-4</v>
          </cell>
          <cell r="E162">
            <v>9816.0040452340254</v>
          </cell>
          <cell r="F162">
            <v>40.395711283894343</v>
          </cell>
          <cell r="G162">
            <v>719</v>
          </cell>
          <cell r="H162">
            <v>6.2646924027317196E-4</v>
          </cell>
          <cell r="I162">
            <v>4763.7122500052274</v>
          </cell>
          <cell r="J162">
            <v>12.572636453410269</v>
          </cell>
          <cell r="K162">
            <v>14632.684642976557</v>
          </cell>
          <cell r="M162">
            <v>9413.8266515629057</v>
          </cell>
          <cell r="N162">
            <v>4807.9887082449495</v>
          </cell>
          <cell r="O162">
            <v>442.57310495501406</v>
          </cell>
          <cell r="P162">
            <v>-31.703821786311892</v>
          </cell>
          <cell r="Q162">
            <v>2.8890072945951483E-2</v>
          </cell>
        </row>
        <row r="163">
          <cell r="A163" t="str">
            <v>4945</v>
          </cell>
          <cell r="B163" t="str">
            <v>LaPorte Community School Corp</v>
          </cell>
          <cell r="C163">
            <v>1103</v>
          </cell>
          <cell r="D163">
            <v>5.8354539538771647E-3</v>
          </cell>
          <cell r="E163">
            <v>177492.66330972346</v>
          </cell>
          <cell r="F163">
            <v>1507.1898508189188</v>
          </cell>
          <cell r="G163">
            <v>6138</v>
          </cell>
          <cell r="H163">
            <v>5.3480781596616546E-3</v>
          </cell>
          <cell r="I163">
            <v>40667.129054982041</v>
          </cell>
          <cell r="J163">
            <v>325.62560953735374</v>
          </cell>
          <cell r="K163">
            <v>219992.60782506177</v>
          </cell>
          <cell r="M163">
            <v>178331.40402930265</v>
          </cell>
          <cell r="N163">
            <v>41480.217056002119</v>
          </cell>
          <cell r="O163">
            <v>668.44913123972947</v>
          </cell>
          <cell r="P163">
            <v>-487.46239148272434</v>
          </cell>
          <cell r="Q163">
            <v>8.2337202584374539E-4</v>
          </cell>
        </row>
        <row r="164">
          <cell r="A164" t="str">
            <v>5075</v>
          </cell>
          <cell r="B164" t="str">
            <v>North Lawrence Com Schools</v>
          </cell>
          <cell r="C164">
            <v>955</v>
          </cell>
          <cell r="D164">
            <v>5.0524555992318152E-3</v>
          </cell>
          <cell r="E164">
            <v>153676.78464259827</v>
          </cell>
          <cell r="F164">
            <v>1710.467474717967</v>
          </cell>
          <cell r="G164">
            <v>5376</v>
          </cell>
          <cell r="H164">
            <v>4.6841427478561508E-3</v>
          </cell>
          <cell r="I164">
            <v>35618.521635644094</v>
          </cell>
          <cell r="J164">
            <v>135.19613637194561</v>
          </cell>
          <cell r="K164">
            <v>191140.96988933225</v>
          </cell>
          <cell r="M164">
            <v>156451.51384474774</v>
          </cell>
          <cell r="N164">
            <v>36170.267528262018</v>
          </cell>
          <cell r="O164">
            <v>-1064.261727431498</v>
          </cell>
          <cell r="P164">
            <v>-416.54975624597864</v>
          </cell>
          <cell r="Q164">
            <v>-7.6876637373106994E-3</v>
          </cell>
        </row>
        <row r="165">
          <cell r="A165" t="str">
            <v>5085</v>
          </cell>
          <cell r="B165" t="str">
            <v>Mitchell Community Schools</v>
          </cell>
          <cell r="C165">
            <v>279</v>
          </cell>
          <cell r="D165">
            <v>1.4760577090949492E-3</v>
          </cell>
          <cell r="E165">
            <v>44896.149649513012</v>
          </cell>
          <cell r="F165">
            <v>193.99776339216623</v>
          </cell>
          <cell r="G165">
            <v>1927</v>
          </cell>
          <cell r="H165">
            <v>1.6790072684372773E-3</v>
          </cell>
          <cell r="I165">
            <v>12767.278867538351</v>
          </cell>
          <cell r="J165">
            <v>35.948250239360277</v>
          </cell>
          <cell r="K165">
            <v>57893.374530682886</v>
          </cell>
          <cell r="M165">
            <v>49761.971549274393</v>
          </cell>
          <cell r="N165">
            <v>12973.650093583154</v>
          </cell>
          <cell r="O165">
            <v>-4671.8241363692141</v>
          </cell>
          <cell r="P165">
            <v>-170.42297580544255</v>
          </cell>
          <cell r="Q165">
            <v>-7.7184970601561695E-2</v>
          </cell>
        </row>
        <row r="166">
          <cell r="A166" t="str">
            <v>5245</v>
          </cell>
          <cell r="B166" t="str">
            <v>Frankton-Lapel Community Schools</v>
          </cell>
          <cell r="C166">
            <v>247</v>
          </cell>
          <cell r="D166">
            <v>1.3067607675500087E-3</v>
          </cell>
          <cell r="E166">
            <v>39746.770478242695</v>
          </cell>
          <cell r="F166">
            <v>349.93327318109368</v>
          </cell>
          <cell r="G166">
            <v>2163</v>
          </cell>
          <cell r="H166">
            <v>1.8846355587077482E-3</v>
          </cell>
          <cell r="I166">
            <v>14330.88956434118</v>
          </cell>
          <cell r="J166">
            <v>76.618590574715199</v>
          </cell>
          <cell r="K166">
            <v>54504.211906339682</v>
          </cell>
          <cell r="M166">
            <v>51506.624167585185</v>
          </cell>
          <cell r="N166">
            <v>14469.481172944907</v>
          </cell>
          <cell r="O166">
            <v>-11409.920416161396</v>
          </cell>
          <cell r="P166">
            <v>-61.973018029011655</v>
          </cell>
          <cell r="Q166">
            <v>-0.17387951857690295</v>
          </cell>
        </row>
        <row r="167">
          <cell r="A167" t="str">
            <v>5255</v>
          </cell>
          <cell r="B167" t="str">
            <v>South Madison Com Sch Corp</v>
          </cell>
          <cell r="C167">
            <v>401</v>
          </cell>
          <cell r="D167">
            <v>2.1215022987350345E-3</v>
          </cell>
          <cell r="E167">
            <v>64528.157739981063</v>
          </cell>
          <cell r="F167">
            <v>324.63315458435682</v>
          </cell>
          <cell r="G167">
            <v>4486</v>
          </cell>
          <cell r="H167">
            <v>3.9086801277683578E-3</v>
          </cell>
          <cell r="I167">
            <v>29721.854177362242</v>
          </cell>
          <cell r="J167">
            <v>80.105052999268082</v>
          </cell>
          <cell r="K167">
            <v>94654.750124926926</v>
          </cell>
          <cell r="M167">
            <v>71181.4161946596</v>
          </cell>
          <cell r="N167">
            <v>29930.74330402715</v>
          </cell>
          <cell r="O167">
            <v>-6328.6253000941797</v>
          </cell>
          <cell r="P167">
            <v>-128.78407366563988</v>
          </cell>
          <cell r="Q167">
            <v>-6.3863826129078857E-2</v>
          </cell>
        </row>
        <row r="168">
          <cell r="A168" t="str">
            <v>5265</v>
          </cell>
          <cell r="B168" t="str">
            <v>Alexandria Community School Corp</v>
          </cell>
          <cell r="C168">
            <v>343</v>
          </cell>
          <cell r="D168">
            <v>1.8146515921848298E-3</v>
          </cell>
          <cell r="E168">
            <v>55194.907992053624</v>
          </cell>
          <cell r="F168">
            <v>752.20575251424452</v>
          </cell>
          <cell r="G168">
            <v>1441</v>
          </cell>
          <cell r="H168">
            <v>1.2555523994904601E-3</v>
          </cell>
          <cell r="I168">
            <v>9547.3009071732031</v>
          </cell>
          <cell r="J168">
            <v>103.76574112126582</v>
          </cell>
          <cell r="K168">
            <v>65598.180392862341</v>
          </cell>
          <cell r="M168">
            <v>67001.709177876066</v>
          </cell>
          <cell r="N168">
            <v>9747.5128206689387</v>
          </cell>
          <cell r="O168">
            <v>-11054.595433308197</v>
          </cell>
          <cell r="P168">
            <v>-96.446172374469825</v>
          </cell>
          <cell r="Q168">
            <v>-0.14529191717271175</v>
          </cell>
        </row>
        <row r="169">
          <cell r="A169" t="str">
            <v>5275</v>
          </cell>
          <cell r="B169" t="str">
            <v>Anderson Community School Corp</v>
          </cell>
          <cell r="C169">
            <v>2767</v>
          </cell>
          <cell r="D169">
            <v>1.4638894914214065E-2</v>
          </cell>
          <cell r="E169">
            <v>445260.38021577953</v>
          </cell>
          <cell r="F169">
            <v>3440.6573649930651</v>
          </cell>
          <cell r="G169">
            <v>9539</v>
          </cell>
          <cell r="H169">
            <v>8.3113909359746694E-3</v>
          </cell>
          <cell r="I169">
            <v>63200.349308483819</v>
          </cell>
          <cell r="J169">
            <v>402.09189723941381</v>
          </cell>
          <cell r="K169">
            <v>512303.47878649586</v>
          </cell>
          <cell r="M169">
            <v>490700.19454864942</v>
          </cell>
          <cell r="N169">
            <v>64594.523589290293</v>
          </cell>
          <cell r="O169">
            <v>-41999.156967876828</v>
          </cell>
          <cell r="P169">
            <v>-992.08238356705988</v>
          </cell>
          <cell r="Q169">
            <v>-7.7420580364253561E-2</v>
          </cell>
        </row>
        <row r="170">
          <cell r="A170" t="str">
            <v>5280</v>
          </cell>
          <cell r="B170" t="str">
            <v>Elwood Community School Corp</v>
          </cell>
          <cell r="C170">
            <v>404</v>
          </cell>
          <cell r="D170">
            <v>2.1373738870048725E-3</v>
          </cell>
          <cell r="E170">
            <v>65010.91203728765</v>
          </cell>
          <cell r="F170">
            <v>406.39059386795998</v>
          </cell>
          <cell r="G170">
            <v>1596</v>
          </cell>
          <cell r="H170">
            <v>1.3906048782697947E-3</v>
          </cell>
          <cell r="I170">
            <v>10574.248610581841</v>
          </cell>
          <cell r="J170">
            <v>90.26367730099264</v>
          </cell>
          <cell r="K170">
            <v>76081.814919038443</v>
          </cell>
          <cell r="M170">
            <v>69197.841392864764</v>
          </cell>
          <cell r="N170">
            <v>10765.852008158296</v>
          </cell>
          <cell r="O170">
            <v>-3780.5387617091546</v>
          </cell>
          <cell r="P170">
            <v>-101.33972027546224</v>
          </cell>
          <cell r="Q170">
            <v>-4.8545512555513745E-2</v>
          </cell>
        </row>
        <row r="171">
          <cell r="A171" t="str">
            <v>5300</v>
          </cell>
          <cell r="B171" t="str">
            <v>MSD Decatur Township</v>
          </cell>
          <cell r="C171">
            <v>1491</v>
          </cell>
          <cell r="D171">
            <v>7.8881793701095666E-3</v>
          </cell>
          <cell r="E171">
            <v>239928.88576137595</v>
          </cell>
          <cell r="F171">
            <v>17.565980167710222</v>
          </cell>
          <cell r="G171">
            <v>7139</v>
          </cell>
          <cell r="H171">
            <v>6.220255780681745E-3</v>
          </cell>
          <cell r="I171">
            <v>47299.223578285564</v>
          </cell>
          <cell r="J171">
            <v>118.92544579611422</v>
          </cell>
          <cell r="K171">
            <v>287364.60076562531</v>
          </cell>
          <cell r="M171">
            <v>232923.4940894733</v>
          </cell>
          <cell r="N171">
            <v>46955.25814145941</v>
          </cell>
          <cell r="O171">
            <v>7022.9576520703558</v>
          </cell>
          <cell r="P171">
            <v>462.89088262226869</v>
          </cell>
          <cell r="Q171">
            <v>2.6746755425420519E-2</v>
          </cell>
        </row>
        <row r="172">
          <cell r="A172" t="str">
            <v>5310</v>
          </cell>
          <cell r="B172" t="str">
            <v>Franklin Township Com Sch Corp</v>
          </cell>
          <cell r="C172">
            <v>957</v>
          </cell>
          <cell r="D172">
            <v>5.0630366580783738E-3</v>
          </cell>
          <cell r="E172">
            <v>153998.62084080267</v>
          </cell>
          <cell r="F172">
            <v>232.06234230421251</v>
          </cell>
          <cell r="G172">
            <v>11315</v>
          </cell>
          <cell r="H172">
            <v>9.858830950891434E-3</v>
          </cell>
          <cell r="I172">
            <v>74967.182348830538</v>
          </cell>
          <cell r="J172">
            <v>118.05840526537213</v>
          </cell>
          <cell r="K172">
            <v>229315.92393720278</v>
          </cell>
          <cell r="M172">
            <v>167047.35873710018</v>
          </cell>
          <cell r="N172">
            <v>74734.732482341715</v>
          </cell>
          <cell r="O172">
            <v>-12816.675553993293</v>
          </cell>
          <cell r="P172">
            <v>350.50827175419545</v>
          </cell>
          <cell r="Q172">
            <v>-5.1559514682684993E-2</v>
          </cell>
        </row>
        <row r="173">
          <cell r="A173" t="str">
            <v>5330</v>
          </cell>
          <cell r="B173" t="str">
            <v>MSD Lawrence Township</v>
          </cell>
          <cell r="C173">
            <v>2940</v>
          </cell>
          <cell r="D173">
            <v>1.55541565044414E-2</v>
          </cell>
          <cell r="E173">
            <v>473099.21136045962</v>
          </cell>
          <cell r="F173">
            <v>-249.99235153972404</v>
          </cell>
          <cell r="G173">
            <v>18504</v>
          </cell>
          <cell r="H173">
            <v>1.6122652047308447E-2</v>
          </cell>
          <cell r="I173">
            <v>122597.67937982855</v>
          </cell>
          <cell r="J173">
            <v>253.87362312397454</v>
          </cell>
          <cell r="K173">
            <v>595700.77201187238</v>
          </cell>
          <cell r="M173">
            <v>494158.77182046504</v>
          </cell>
          <cell r="N173">
            <v>122685.80671120863</v>
          </cell>
          <cell r="O173">
            <v>-21309.552811545145</v>
          </cell>
          <cell r="P173">
            <v>165.74629174389702</v>
          </cell>
          <cell r="Q173">
            <v>-3.4277364599899066E-2</v>
          </cell>
        </row>
        <row r="174">
          <cell r="A174" t="str">
            <v>5340</v>
          </cell>
          <cell r="B174" t="str">
            <v>Perry Township Schools</v>
          </cell>
          <cell r="C174">
            <v>2684</v>
          </cell>
          <cell r="D174">
            <v>1.4199780972081875E-2</v>
          </cell>
          <cell r="E174">
            <v>431904.17799029715</v>
          </cell>
          <cell r="F174">
            <v>-1575.7838296208065</v>
          </cell>
          <cell r="G174">
            <v>16431</v>
          </cell>
          <cell r="H174">
            <v>1.4316434056924184E-2</v>
          </cell>
          <cell r="I174">
            <v>108863.08203036981</v>
          </cell>
          <cell r="J174">
            <v>206.78286017385835</v>
          </cell>
          <cell r="K174">
            <v>539398.25905122003</v>
          </cell>
          <cell r="M174">
            <v>454544.898027007</v>
          </cell>
          <cell r="N174">
            <v>108616.25791764051</v>
          </cell>
          <cell r="O174">
            <v>-24216.503866330662</v>
          </cell>
          <cell r="P174">
            <v>453.60697290315875</v>
          </cell>
          <cell r="Q174">
            <v>-4.2195553870485937E-2</v>
          </cell>
        </row>
        <row r="175">
          <cell r="A175" t="str">
            <v>5350</v>
          </cell>
          <cell r="B175" t="str">
            <v>MSD Pike Township</v>
          </cell>
          <cell r="C175">
            <v>2438</v>
          </cell>
          <cell r="D175">
            <v>1.2898310733955146E-2</v>
          </cell>
          <cell r="E175">
            <v>392318.32561115664</v>
          </cell>
          <cell r="F175">
            <v>-2377.3122708072187</v>
          </cell>
          <cell r="G175">
            <v>13405</v>
          </cell>
          <cell r="H175">
            <v>1.1679861148625688E-2</v>
          </cell>
          <cell r="I175">
            <v>88814.412672211503</v>
          </cell>
          <cell r="J175">
            <v>248.20317384277587</v>
          </cell>
          <cell r="K175">
            <v>479003.6291864037</v>
          </cell>
          <cell r="M175">
            <v>400044.73131778149</v>
          </cell>
          <cell r="N175">
            <v>88563.231298753977</v>
          </cell>
          <cell r="O175">
            <v>-10103.717977432068</v>
          </cell>
          <cell r="P175">
            <v>499.38454730030207</v>
          </cell>
          <cell r="Q175">
            <v>-1.9656522539460423E-2</v>
          </cell>
        </row>
        <row r="176">
          <cell r="A176" t="str">
            <v>5360</v>
          </cell>
          <cell r="B176" t="str">
            <v>MSD Warren Township</v>
          </cell>
          <cell r="C176">
            <v>2896</v>
          </cell>
          <cell r="D176">
            <v>1.5321373209817106E-2</v>
          </cell>
          <cell r="E176">
            <v>466018.81499996292</v>
          </cell>
          <cell r="F176">
            <v>-4213.4743515429436</v>
          </cell>
          <cell r="G176">
            <v>12435</v>
          </cell>
          <cell r="H176">
            <v>1.0834694023361464E-2</v>
          </cell>
          <cell r="I176">
            <v>82387.707689589719</v>
          </cell>
          <cell r="J176">
            <v>314.41619521207758</v>
          </cell>
          <cell r="K176">
            <v>544507.46453322179</v>
          </cell>
          <cell r="M176">
            <v>455084.64172212861</v>
          </cell>
          <cell r="N176">
            <v>82921.245602942465</v>
          </cell>
          <cell r="O176">
            <v>6720.6989262913703</v>
          </cell>
          <cell r="P176">
            <v>-219.12171814066824</v>
          </cell>
          <cell r="Q176">
            <v>1.2084583758880605E-2</v>
          </cell>
        </row>
        <row r="177">
          <cell r="A177" t="str">
            <v>5370</v>
          </cell>
          <cell r="B177" t="str">
            <v>MSD Washington Township</v>
          </cell>
          <cell r="C177">
            <v>2606</v>
          </cell>
          <cell r="D177">
            <v>1.3787119677066084E-2</v>
          </cell>
          <cell r="E177">
            <v>419352.56626032578</v>
          </cell>
          <cell r="F177">
            <v>-2579.6571254747687</v>
          </cell>
          <cell r="G177">
            <v>13308</v>
          </cell>
          <cell r="H177">
            <v>1.1595344436099267E-2</v>
          </cell>
          <cell r="I177">
            <v>88171.742173949344</v>
          </cell>
          <cell r="J177">
            <v>-274.94746145654062</v>
          </cell>
          <cell r="K177">
            <v>504669.7038473438</v>
          </cell>
          <cell r="M177">
            <v>366479.32718415477</v>
          </cell>
          <cell r="N177">
            <v>87749.048515649381</v>
          </cell>
          <cell r="O177">
            <v>50293.581950696243</v>
          </cell>
          <cell r="P177">
            <v>147.74619684342179</v>
          </cell>
          <cell r="Q177">
            <v>0.11104838633171595</v>
          </cell>
        </row>
        <row r="178">
          <cell r="A178" t="str">
            <v>5375</v>
          </cell>
          <cell r="B178" t="str">
            <v>MSD Wayne Township</v>
          </cell>
          <cell r="C178">
            <v>3418</v>
          </cell>
          <cell r="D178">
            <v>1.8083029568768946E-2</v>
          </cell>
          <cell r="E178">
            <v>550018.06273130979</v>
          </cell>
          <cell r="F178">
            <v>-5303.7301944311475</v>
          </cell>
          <cell r="G178">
            <v>14901</v>
          </cell>
          <cell r="H178">
            <v>1.2983335395424945E-2</v>
          </cell>
          <cell r="I178">
            <v>98726.114377368431</v>
          </cell>
          <cell r="J178">
            <v>-395.04482418995758</v>
          </cell>
          <cell r="K178">
            <v>643045.40209005715</v>
          </cell>
          <cell r="M178">
            <v>644958.18232356873</v>
          </cell>
          <cell r="N178">
            <v>97709.24645417156</v>
          </cell>
          <cell r="O178">
            <v>-100243.84978669009</v>
          </cell>
          <cell r="P178">
            <v>621.82309900691325</v>
          </cell>
          <cell r="Q178">
            <v>-0.13414083185476183</v>
          </cell>
        </row>
        <row r="179">
          <cell r="A179" t="str">
            <v>5380</v>
          </cell>
          <cell r="B179" t="str">
            <v>Beech Grove City Schools</v>
          </cell>
          <cell r="C179">
            <v>656</v>
          </cell>
          <cell r="D179">
            <v>3.470587301671278E-3</v>
          </cell>
          <cell r="E179">
            <v>105562.27301104132</v>
          </cell>
          <cell r="F179">
            <v>818.94711248890962</v>
          </cell>
          <cell r="G179">
            <v>2619</v>
          </cell>
          <cell r="H179">
            <v>2.2819512382134038E-3</v>
          </cell>
          <cell r="I179">
            <v>17352.103453078849</v>
          </cell>
          <cell r="J179">
            <v>88.279355877970374</v>
          </cell>
          <cell r="K179">
            <v>123821.60293248705</v>
          </cell>
          <cell r="M179">
            <v>112664.6315524283</v>
          </cell>
          <cell r="N179">
            <v>17265.790443385042</v>
          </cell>
          <cell r="O179">
            <v>-6283.4114288980636</v>
          </cell>
          <cell r="P179">
            <v>174.59236557177792</v>
          </cell>
          <cell r="Q179">
            <v>-4.7016079602382313E-2</v>
          </cell>
        </row>
        <row r="180">
          <cell r="A180" t="str">
            <v>5385</v>
          </cell>
          <cell r="B180" t="str">
            <v>Indianapolis Public Schools</v>
          </cell>
          <cell r="C180">
            <v>9255</v>
          </cell>
          <cell r="D180">
            <v>4.8963849812450728E-2</v>
          </cell>
          <cell r="E180">
            <v>1489297.0071908345</v>
          </cell>
          <cell r="F180">
            <v>-205360.43511232291</v>
          </cell>
          <cell r="G180">
            <v>34086</v>
          </cell>
          <cell r="H180">
            <v>2.9699347043047761E-2</v>
          </cell>
          <cell r="I180">
            <v>225835.73818314075</v>
          </cell>
          <cell r="J180">
            <v>-13616.492416908004</v>
          </cell>
          <cell r="K180">
            <v>1496155.8178447443</v>
          </cell>
          <cell r="M180">
            <v>1409888.2491218585</v>
          </cell>
          <cell r="N180">
            <v>218600.70406372283</v>
          </cell>
          <cell r="O180">
            <v>-125951.67704334692</v>
          </cell>
          <cell r="P180">
            <v>-6381.4582974900841</v>
          </cell>
          <cell r="Q180">
            <v>-8.126130366556833E-2</v>
          </cell>
        </row>
        <row r="181">
          <cell r="A181" t="str">
            <v>5400</v>
          </cell>
          <cell r="B181" t="str">
            <v>School Town of Speedway</v>
          </cell>
          <cell r="C181">
            <v>341</v>
          </cell>
          <cell r="D181">
            <v>1.8040705333382712E-3</v>
          </cell>
          <cell r="E181">
            <v>54873.071793849231</v>
          </cell>
          <cell r="F181">
            <v>1076.5432480670715</v>
          </cell>
          <cell r="G181">
            <v>1757</v>
          </cell>
          <cell r="H181">
            <v>1.5308851949373619E-3</v>
          </cell>
          <cell r="I181">
            <v>11640.949128315975</v>
          </cell>
          <cell r="J181">
            <v>280.70738509989496</v>
          </cell>
          <cell r="K181">
            <v>67871.271555332176</v>
          </cell>
          <cell r="M181">
            <v>58429.230865706442</v>
          </cell>
          <cell r="N181">
            <v>11921.993297311079</v>
          </cell>
          <cell r="O181">
            <v>-2479.61582379014</v>
          </cell>
          <cell r="P181">
            <v>-0.33678389520900964</v>
          </cell>
          <cell r="Q181">
            <v>-3.5251022810048258E-2</v>
          </cell>
        </row>
        <row r="182">
          <cell r="A182" t="str">
            <v>5455</v>
          </cell>
          <cell r="B182" t="str">
            <v>Culver Community Schools Corp</v>
          </cell>
          <cell r="C182">
            <v>192</v>
          </cell>
          <cell r="D182">
            <v>1.0157816492696425E-3</v>
          </cell>
          <cell r="E182">
            <v>30896.275027621858</v>
          </cell>
          <cell r="F182">
            <v>273.66309571923193</v>
          </cell>
          <cell r="G182">
            <v>1117</v>
          </cell>
          <cell r="H182">
            <v>9.7324915352591521E-4</v>
          </cell>
          <cell r="I182">
            <v>7400.6489335964379</v>
          </cell>
          <cell r="J182">
            <v>18.38545648384661</v>
          </cell>
          <cell r="K182">
            <v>38588.972513421373</v>
          </cell>
          <cell r="M182">
            <v>29188.3144708172</v>
          </cell>
          <cell r="N182">
            <v>7439.7052255184763</v>
          </cell>
          <cell r="O182">
            <v>1981.6236525238892</v>
          </cell>
          <cell r="P182">
            <v>-20.670835438191716</v>
          </cell>
          <cell r="Q182">
            <v>5.353695977404626E-2</v>
          </cell>
        </row>
        <row r="183">
          <cell r="A183" t="str">
            <v>5470</v>
          </cell>
          <cell r="B183" t="str">
            <v>Argos Community Schools</v>
          </cell>
          <cell r="C183">
            <v>138</v>
          </cell>
          <cell r="D183">
            <v>7.3009306041255551E-4</v>
          </cell>
          <cell r="E183">
            <v>22206.697676103209</v>
          </cell>
          <cell r="F183">
            <v>383.79667990845337</v>
          </cell>
          <cell r="G183">
            <v>709</v>
          </cell>
          <cell r="H183">
            <v>6.1775617712611815E-4</v>
          </cell>
          <cell r="I183">
            <v>4697.4575594627349</v>
          </cell>
          <cell r="J183">
            <v>11.653831432114202</v>
          </cell>
          <cell r="K183">
            <v>27299.605746906513</v>
          </cell>
          <cell r="M183">
            <v>20242.760536431782</v>
          </cell>
          <cell r="N183">
            <v>4714.4687652856092</v>
          </cell>
          <cell r="O183">
            <v>2347.7338195798802</v>
          </cell>
          <cell r="P183">
            <v>-5.3573743907600146</v>
          </cell>
          <cell r="Q183">
            <v>9.3855628638549765E-2</v>
          </cell>
        </row>
        <row r="184">
          <cell r="A184" t="str">
            <v>5480</v>
          </cell>
          <cell r="B184" t="str">
            <v>Bremen Public Schools</v>
          </cell>
          <cell r="C184">
            <v>143</v>
          </cell>
          <cell r="D184">
            <v>7.5654570752895238E-4</v>
          </cell>
          <cell r="E184">
            <v>23011.288171614193</v>
          </cell>
          <cell r="F184">
            <v>587.33688867864112</v>
          </cell>
          <cell r="G184">
            <v>1806</v>
          </cell>
          <cell r="H184">
            <v>1.5735792043579256E-3</v>
          </cell>
          <cell r="I184">
            <v>11965.597111974188</v>
          </cell>
          <cell r="J184">
            <v>30.662549426497208</v>
          </cell>
          <cell r="K184">
            <v>35594.884721693517</v>
          </cell>
          <cell r="M184">
            <v>28548.757998663488</v>
          </cell>
          <cell r="N184">
            <v>12015.895545407557</v>
          </cell>
          <cell r="O184">
            <v>-4950.1329383706543</v>
          </cell>
          <cell r="P184">
            <v>-19.635884006871493</v>
          </cell>
          <cell r="Q184">
            <v>-0.12251476071349093</v>
          </cell>
        </row>
        <row r="185">
          <cell r="A185" t="str">
            <v>5485</v>
          </cell>
          <cell r="B185" t="str">
            <v>Plymouth Community School Corp</v>
          </cell>
          <cell r="C185">
            <v>525</v>
          </cell>
          <cell r="D185">
            <v>2.7775279472216784E-3</v>
          </cell>
          <cell r="E185">
            <v>84482.0020286535</v>
          </cell>
          <cell r="F185">
            <v>1324.2270434158854</v>
          </cell>
          <cell r="G185">
            <v>3399</v>
          </cell>
          <cell r="H185">
            <v>2.9615701636836042E-3</v>
          </cell>
          <cell r="I185">
            <v>22519.969315393282</v>
          </cell>
          <cell r="J185">
            <v>85.207438735022151</v>
          </cell>
          <cell r="K185">
            <v>108411.4058261977</v>
          </cell>
          <cell r="M185">
            <v>96488.381843875672</v>
          </cell>
          <cell r="N185">
            <v>22726.185664586657</v>
          </cell>
          <cell r="O185">
            <v>-10682.152771806286</v>
          </cell>
          <cell r="P185">
            <v>-121.00891045835306</v>
          </cell>
          <cell r="Q185">
            <v>-9.0619476361374948E-2</v>
          </cell>
        </row>
        <row r="186">
          <cell r="A186" t="str">
            <v>5495</v>
          </cell>
          <cell r="B186" t="str">
            <v>Triton School Corporation</v>
          </cell>
          <cell r="C186">
            <v>111</v>
          </cell>
          <cell r="D186">
            <v>5.8724876598401207E-4</v>
          </cell>
          <cell r="E186">
            <v>17861.909000343887</v>
          </cell>
          <cell r="F186">
            <v>232.63476400169748</v>
          </cell>
          <cell r="G186">
            <v>1188</v>
          </cell>
          <cell r="H186">
            <v>1.0351119018699975E-3</v>
          </cell>
          <cell r="I186">
            <v>7871.0572364481368</v>
          </cell>
          <cell r="J186">
            <v>24.002659557587322</v>
          </cell>
          <cell r="K186">
            <v>25989.603660351309</v>
          </cell>
          <cell r="M186">
            <v>19614.983487968464</v>
          </cell>
          <cell r="N186">
            <v>7954.6286872514565</v>
          </cell>
          <cell r="O186">
            <v>-1520.4397236228797</v>
          </cell>
          <cell r="P186">
            <v>-59.568791245732427</v>
          </cell>
          <cell r="Q186">
            <v>-5.7309783860099169E-2</v>
          </cell>
        </row>
        <row r="187">
          <cell r="A187" t="str">
            <v>5520</v>
          </cell>
          <cell r="B187" t="str">
            <v>Shoals Community School Corp</v>
          </cell>
          <cell r="C187">
            <v>117</v>
          </cell>
          <cell r="D187">
            <v>6.1899194252368838E-4</v>
          </cell>
          <cell r="E187">
            <v>18827.417594957067</v>
          </cell>
          <cell r="F187">
            <v>-210.70732744167981</v>
          </cell>
          <cell r="G187">
            <v>685</v>
          </cell>
          <cell r="H187">
            <v>5.9684482557318883E-4</v>
          </cell>
          <cell r="I187">
            <v>4538.4463021607526</v>
          </cell>
          <cell r="J187">
            <v>17.623137477734417</v>
          </cell>
          <cell r="K187">
            <v>23172.779707153873</v>
          </cell>
          <cell r="M187">
            <v>20124.871661638208</v>
          </cell>
          <cell r="N187">
            <v>4422.7915565303756</v>
          </cell>
          <cell r="O187">
            <v>-1508.1613941228206</v>
          </cell>
          <cell r="P187">
            <v>133.27788310811138</v>
          </cell>
          <cell r="Q187">
            <v>-5.6008732839267154E-2</v>
          </cell>
        </row>
        <row r="188">
          <cell r="A188" t="str">
            <v>5525</v>
          </cell>
          <cell r="B188" t="str">
            <v>Loogootee Community Sch Corp</v>
          </cell>
          <cell r="C188">
            <v>129</v>
          </cell>
          <cell r="D188">
            <v>6.8247829560304099E-4</v>
          </cell>
          <cell r="E188">
            <v>20758.434784183431</v>
          </cell>
          <cell r="F188">
            <v>-57.452329859963356</v>
          </cell>
          <cell r="G188">
            <v>972</v>
          </cell>
          <cell r="H188">
            <v>8.469097378936344E-4</v>
          </cell>
          <cell r="I188">
            <v>6439.9559207302937</v>
          </cell>
          <cell r="J188">
            <v>11.571489274891064</v>
          </cell>
          <cell r="K188">
            <v>27152.509864328651</v>
          </cell>
          <cell r="M188">
            <v>21231.356924333046</v>
          </cell>
          <cell r="N188">
            <v>6248.9195661016784</v>
          </cell>
          <cell r="O188">
            <v>-530.37447000957764</v>
          </cell>
          <cell r="P188">
            <v>202.60784390350636</v>
          </cell>
          <cell r="Q188">
            <v>-1.1927340913769903E-2</v>
          </cell>
        </row>
        <row r="189">
          <cell r="A189" t="str">
            <v>5615</v>
          </cell>
          <cell r="B189" t="str">
            <v>Maconaquah School Corp</v>
          </cell>
          <cell r="C189">
            <v>396</v>
          </cell>
          <cell r="D189">
            <v>2.0950496516186374E-3</v>
          </cell>
          <cell r="E189">
            <v>63723.567244470069</v>
          </cell>
          <cell r="F189">
            <v>338.03371889790287</v>
          </cell>
          <cell r="G189">
            <v>2121</v>
          </cell>
          <cell r="H189">
            <v>1.8480406934901219E-3</v>
          </cell>
          <cell r="I189">
            <v>14052.619864062708</v>
          </cell>
          <cell r="J189">
            <v>25.502023148663284</v>
          </cell>
          <cell r="K189">
            <v>78139.722850579332</v>
          </cell>
          <cell r="M189">
            <v>69764.971361303469</v>
          </cell>
          <cell r="N189">
            <v>14451.436440496725</v>
          </cell>
          <cell r="O189">
            <v>-5703.3703979354977</v>
          </cell>
          <cell r="P189">
            <v>-373.31455328535412</v>
          </cell>
          <cell r="Q189">
            <v>-7.2155594258093703E-2</v>
          </cell>
        </row>
        <row r="190">
          <cell r="A190" t="str">
            <v>5620</v>
          </cell>
          <cell r="B190" t="str">
            <v>North Miami Community Schools</v>
          </cell>
          <cell r="C190">
            <v>118</v>
          </cell>
          <cell r="D190">
            <v>6.2428247194696771E-4</v>
          </cell>
          <cell r="E190">
            <v>18988.335694059264</v>
          </cell>
          <cell r="F190">
            <v>225.4375256786916</v>
          </cell>
          <cell r="G190">
            <v>1035</v>
          </cell>
          <cell r="H190">
            <v>9.0180203572007365E-4</v>
          </cell>
          <cell r="I190">
            <v>6857.3604711479984</v>
          </cell>
          <cell r="J190">
            <v>35.955845201749071</v>
          </cell>
          <cell r="K190">
            <v>26107.0895360877</v>
          </cell>
          <cell r="M190">
            <v>22467.477044984822</v>
          </cell>
          <cell r="N190">
            <v>7086.8710624842042</v>
          </cell>
          <cell r="O190">
            <v>-3253.7038252468665</v>
          </cell>
          <cell r="P190">
            <v>-193.55474613445676</v>
          </cell>
          <cell r="Q190">
            <v>-0.11664133341212578</v>
          </cell>
        </row>
        <row r="191">
          <cell r="A191" t="str">
            <v>5625</v>
          </cell>
          <cell r="B191" t="str">
            <v>Oak Hill United School Corp</v>
          </cell>
          <cell r="C191">
            <v>189</v>
          </cell>
          <cell r="D191">
            <v>9.9991006099980429E-4</v>
          </cell>
          <cell r="E191">
            <v>30413.520730315264</v>
          </cell>
          <cell r="F191">
            <v>138.20469606993356</v>
          </cell>
          <cell r="G191">
            <v>1279</v>
          </cell>
          <cell r="H191">
            <v>1.1144007765081876E-3</v>
          </cell>
          <cell r="I191">
            <v>8473.9749203848205</v>
          </cell>
          <cell r="J191">
            <v>24.583415815947774</v>
          </cell>
          <cell r="K191">
            <v>39050.283762585968</v>
          </cell>
          <cell r="M191">
            <v>32230.290288211632</v>
          </cell>
          <cell r="N191">
            <v>8623.2605100628462</v>
          </cell>
          <cell r="O191">
            <v>-1678.5648618264349</v>
          </cell>
          <cell r="P191">
            <v>-124.70217386207878</v>
          </cell>
          <cell r="Q191">
            <v>-4.4139787128728063E-2</v>
          </cell>
        </row>
        <row r="192">
          <cell r="A192" t="str">
            <v>5635</v>
          </cell>
          <cell r="B192" t="str">
            <v>Peru Community Schools</v>
          </cell>
          <cell r="C192">
            <v>481</v>
          </cell>
          <cell r="D192">
            <v>2.5447446525973852E-3</v>
          </cell>
          <cell r="E192">
            <v>77401.60566815683</v>
          </cell>
          <cell r="F192">
            <v>500.89416375655856</v>
          </cell>
          <cell r="G192">
            <v>2110</v>
          </cell>
          <cell r="H192">
            <v>1.8384563240283628E-3</v>
          </cell>
          <cell r="I192">
            <v>13979.739704465968</v>
          </cell>
          <cell r="J192">
            <v>80.00413412783746</v>
          </cell>
          <cell r="K192">
            <v>91962.243670507203</v>
          </cell>
          <cell r="M192">
            <v>82160.953541780473</v>
          </cell>
          <cell r="N192">
            <v>14505.9385514759</v>
          </cell>
          <cell r="O192">
            <v>-4258.4537098670844</v>
          </cell>
          <cell r="P192">
            <v>-446.19471288209388</v>
          </cell>
          <cell r="Q192">
            <v>-4.8668663291776416E-2</v>
          </cell>
        </row>
        <row r="193">
          <cell r="A193" t="str">
            <v>5705</v>
          </cell>
          <cell r="B193" t="str">
            <v>Richland-Bean Blossom C S C</v>
          </cell>
          <cell r="C193">
            <v>355</v>
          </cell>
          <cell r="D193">
            <v>1.8781379452641827E-3</v>
          </cell>
          <cell r="E193">
            <v>57125.925181279992</v>
          </cell>
          <cell r="F193">
            <v>-119.02767933011637</v>
          </cell>
          <cell r="G193">
            <v>3097</v>
          </cell>
          <cell r="H193">
            <v>2.6984356566425779E-3</v>
          </cell>
          <cell r="I193">
            <v>20519.07766101</v>
          </cell>
          <cell r="J193">
            <v>-49.746479742680094</v>
          </cell>
          <cell r="K193">
            <v>77476.228683217196</v>
          </cell>
          <cell r="M193">
            <v>58028.018492570191</v>
          </cell>
          <cell r="N193">
            <v>20620.150381427742</v>
          </cell>
          <cell r="O193">
            <v>-1021.1209906203148</v>
          </cell>
          <cell r="P193">
            <v>-150.81920016042204</v>
          </cell>
          <cell r="Q193">
            <v>-1.4901048651981967E-2</v>
          </cell>
        </row>
        <row r="194">
          <cell r="A194" t="str">
            <v>5740</v>
          </cell>
          <cell r="B194" t="str">
            <v>Monroe County Community Sch Corp</v>
          </cell>
          <cell r="C194">
            <v>1744</v>
          </cell>
          <cell r="D194">
            <v>9.2266833141992511E-3</v>
          </cell>
          <cell r="E194">
            <v>280641.16483423184</v>
          </cell>
          <cell r="F194">
            <v>-2996.6675719902269</v>
          </cell>
          <cell r="G194">
            <v>12755</v>
          </cell>
          <cell r="H194">
            <v>1.1113512044067188E-2</v>
          </cell>
          <cell r="I194">
            <v>84507.857786949491</v>
          </cell>
          <cell r="J194">
            <v>-242.70396072602307</v>
          </cell>
          <cell r="K194">
            <v>361909.65108846506</v>
          </cell>
          <cell r="M194">
            <v>315858.85610834835</v>
          </cell>
          <cell r="N194">
            <v>85962.341092596907</v>
          </cell>
          <cell r="O194">
            <v>-38214.358846106741</v>
          </cell>
          <cell r="P194">
            <v>-1697.1872663734393</v>
          </cell>
          <cell r="Q194">
            <v>-9.9326631821568562E-2</v>
          </cell>
        </row>
        <row r="195">
          <cell r="A195" t="str">
            <v>5835</v>
          </cell>
          <cell r="B195" t="str">
            <v>North Montgomery Com Sch Corp</v>
          </cell>
          <cell r="C195">
            <v>224</v>
          </cell>
          <cell r="D195">
            <v>1.1850785908145828E-3</v>
          </cell>
          <cell r="E195">
            <v>36045.65419889216</v>
          </cell>
          <cell r="F195">
            <v>-604.40725726775418</v>
          </cell>
          <cell r="G195">
            <v>2169</v>
          </cell>
          <cell r="H195">
            <v>1.8898633965959805E-3</v>
          </cell>
          <cell r="I195">
            <v>14370.642378666675</v>
          </cell>
          <cell r="J195">
            <v>35.263678074443305</v>
          </cell>
          <cell r="K195">
            <v>49847.152998365527</v>
          </cell>
          <cell r="M195">
            <v>36730.444792996102</v>
          </cell>
          <cell r="N195">
            <v>14388.440058471188</v>
          </cell>
          <cell r="O195">
            <v>-1289.1978513716967</v>
          </cell>
          <cell r="P195">
            <v>17.465998269930424</v>
          </cell>
          <cell r="Q195">
            <v>-2.4877926363162113E-2</v>
          </cell>
        </row>
        <row r="196">
          <cell r="A196" t="str">
            <v>5845</v>
          </cell>
          <cell r="B196" t="str">
            <v>South Montgomery Com Sch Corp</v>
          </cell>
          <cell r="C196">
            <v>284</v>
          </cell>
          <cell r="D196">
            <v>1.5025103562113461E-3</v>
          </cell>
          <cell r="E196">
            <v>45700.740145023992</v>
          </cell>
          <cell r="F196">
            <v>765.16338878988608</v>
          </cell>
          <cell r="G196">
            <v>1935</v>
          </cell>
          <cell r="H196">
            <v>1.6859777189549203E-3</v>
          </cell>
          <cell r="I196">
            <v>12820.282619972344</v>
          </cell>
          <cell r="J196">
            <v>47.559232625873847</v>
          </cell>
          <cell r="K196">
            <v>59333.745386412091</v>
          </cell>
          <cell r="M196">
            <v>44454.883873141211</v>
          </cell>
          <cell r="N196">
            <v>12852.973736058175</v>
          </cell>
          <cell r="O196">
            <v>2011.0196606726677</v>
          </cell>
          <cell r="P196">
            <v>14.868116540043047</v>
          </cell>
          <cell r="Q196">
            <v>3.5350959915966276E-2</v>
          </cell>
        </row>
        <row r="197">
          <cell r="A197" t="str">
            <v>5855</v>
          </cell>
          <cell r="B197" t="str">
            <v>Crawfordsville Community Schools</v>
          </cell>
          <cell r="C197">
            <v>490</v>
          </cell>
          <cell r="D197">
            <v>2.5923594174069001E-3</v>
          </cell>
          <cell r="E197">
            <v>78849.868560076604</v>
          </cell>
          <cell r="F197">
            <v>822.28073816782853</v>
          </cell>
          <cell r="G197">
            <v>2381</v>
          </cell>
          <cell r="H197">
            <v>2.0745803353135221E-3</v>
          </cell>
          <cell r="I197">
            <v>15775.24181816752</v>
          </cell>
          <cell r="J197">
            <v>43.605270833420946</v>
          </cell>
          <cell r="K197">
            <v>95490.996387245366</v>
          </cell>
          <cell r="M197">
            <v>87883.9782851661</v>
          </cell>
          <cell r="N197">
            <v>15832.099289269838</v>
          </cell>
          <cell r="O197">
            <v>-8211.8289869216678</v>
          </cell>
          <cell r="P197">
            <v>-13.252200268896559</v>
          </cell>
          <cell r="Q197">
            <v>-7.9303820386839349E-2</v>
          </cell>
        </row>
        <row r="198">
          <cell r="A198" t="str">
            <v>5900</v>
          </cell>
          <cell r="B198" t="str">
            <v>Monroe-Gregg School District</v>
          </cell>
          <cell r="C198">
            <v>135</v>
          </cell>
          <cell r="D198">
            <v>7.142214721427173E-4</v>
          </cell>
          <cell r="E198">
            <v>21723.943378796615</v>
          </cell>
          <cell r="F198">
            <v>258.58316191516133</v>
          </cell>
          <cell r="G198">
            <v>1372</v>
          </cell>
          <cell r="H198">
            <v>1.1954322637757885E-3</v>
          </cell>
          <cell r="I198">
            <v>9090.1435424300034</v>
          </cell>
          <cell r="J198">
            <v>-0.18428944547486026</v>
          </cell>
          <cell r="K198">
            <v>31072.485793696305</v>
          </cell>
          <cell r="M198">
            <v>25678.056898265022</v>
          </cell>
          <cell r="N198">
            <v>9160.7139994252575</v>
          </cell>
          <cell r="O198">
            <v>-3695.5303575532453</v>
          </cell>
          <cell r="P198">
            <v>-70.754746440728923</v>
          </cell>
          <cell r="Q198">
            <v>-0.10810614171935869</v>
          </cell>
        </row>
        <row r="199">
          <cell r="A199" t="str">
            <v>5910</v>
          </cell>
          <cell r="B199" t="str">
            <v>Eminence Community School Corp</v>
          </cell>
          <cell r="C199">
            <v>46</v>
          </cell>
          <cell r="D199">
            <v>2.4336435347085183E-4</v>
          </cell>
          <cell r="E199">
            <v>7402.2325587010691</v>
          </cell>
          <cell r="F199">
            <v>-110.81591351439602</v>
          </cell>
          <cell r="G199">
            <v>503</v>
          </cell>
          <cell r="H199">
            <v>4.3826707629680877E-4</v>
          </cell>
          <cell r="I199">
            <v>3332.6109342873847</v>
          </cell>
          <cell r="J199">
            <v>5.7720660680747642</v>
          </cell>
          <cell r="K199">
            <v>10629.799645542133</v>
          </cell>
          <cell r="M199">
            <v>8785.9998942080547</v>
          </cell>
          <cell r="N199">
            <v>3372.4848668155137</v>
          </cell>
          <cell r="O199">
            <v>-1494.5832490213816</v>
          </cell>
          <cell r="P199">
            <v>-34.101866460054225</v>
          </cell>
          <cell r="Q199">
            <v>-0.12572990348122479</v>
          </cell>
        </row>
        <row r="200">
          <cell r="A200" t="str">
            <v>5925</v>
          </cell>
          <cell r="B200" t="str">
            <v>MSD Martinsville Schools</v>
          </cell>
          <cell r="C200">
            <v>869</v>
          </cell>
          <cell r="D200">
            <v>4.5974700688297876E-3</v>
          </cell>
          <cell r="E200">
            <v>139837.82811980933</v>
          </cell>
          <cell r="F200">
            <v>454.00003523554187</v>
          </cell>
          <cell r="G200">
            <v>5059</v>
          </cell>
          <cell r="H200">
            <v>4.4079386460945435E-3</v>
          </cell>
          <cell r="I200">
            <v>33518.247945447074</v>
          </cell>
          <cell r="J200">
            <v>112.82367569940834</v>
          </cell>
          <cell r="K200">
            <v>173922.89977619136</v>
          </cell>
          <cell r="M200">
            <v>119448.91146352333</v>
          </cell>
          <cell r="N200">
            <v>34018.068895014476</v>
          </cell>
          <cell r="O200">
            <v>20842.916691521546</v>
          </cell>
          <cell r="P200">
            <v>-386.9972738679935</v>
          </cell>
          <cell r="Q200">
            <v>0.13329199134473965</v>
          </cell>
        </row>
        <row r="201">
          <cell r="A201" t="str">
            <v>5930</v>
          </cell>
          <cell r="B201" t="str">
            <v>Mooresville Con School Corp</v>
          </cell>
          <cell r="C201">
            <v>624</v>
          </cell>
          <cell r="D201">
            <v>3.3012903601263377E-3</v>
          </cell>
          <cell r="E201">
            <v>100412.89383977102</v>
          </cell>
          <cell r="F201">
            <v>61.609896343172295</v>
          </cell>
          <cell r="G201">
            <v>4240</v>
          </cell>
          <cell r="H201">
            <v>3.6943387743508332E-3</v>
          </cell>
          <cell r="I201">
            <v>28091.98879001692</v>
          </cell>
          <cell r="J201">
            <v>109.93349081265478</v>
          </cell>
          <cell r="K201">
            <v>128676.42601694376</v>
          </cell>
          <cell r="M201">
            <v>83628.129804593336</v>
          </cell>
          <cell r="N201">
            <v>28604.626507747758</v>
          </cell>
          <cell r="O201">
            <v>16846.373931520851</v>
          </cell>
          <cell r="P201">
            <v>-402.70422691818385</v>
          </cell>
          <cell r="Q201">
            <v>0.14651399684812449</v>
          </cell>
        </row>
        <row r="202">
          <cell r="A202" t="str">
            <v>5945</v>
          </cell>
          <cell r="B202" t="str">
            <v>North Newton School Corp</v>
          </cell>
          <cell r="C202">
            <v>168</v>
          </cell>
          <cell r="D202">
            <v>8.8880894311093716E-4</v>
          </cell>
          <cell r="E202">
            <v>27034.240649169122</v>
          </cell>
          <cell r="F202">
            <v>-472.73576955238605</v>
          </cell>
          <cell r="G202">
            <v>1412</v>
          </cell>
          <cell r="H202">
            <v>1.230284516364004E-3</v>
          </cell>
          <cell r="I202">
            <v>9355.162304599975</v>
          </cell>
          <cell r="J202">
            <v>1.9454388828253286</v>
          </cell>
          <cell r="K202">
            <v>35918.612623099536</v>
          </cell>
          <cell r="M202">
            <v>28283.043894693394</v>
          </cell>
          <cell r="N202">
            <v>9698.6074543950963</v>
          </cell>
          <cell r="O202">
            <v>-1721.539015076658</v>
          </cell>
          <cell r="P202">
            <v>-341.499710912296</v>
          </cell>
          <cell r="Q202">
            <v>-5.431672011908098E-2</v>
          </cell>
        </row>
        <row r="203">
          <cell r="A203" t="str">
            <v>5995</v>
          </cell>
          <cell r="B203" t="str">
            <v>South Newton School Corp</v>
          </cell>
          <cell r="C203">
            <v>143</v>
          </cell>
          <cell r="D203">
            <v>7.5654570752895238E-4</v>
          </cell>
          <cell r="E203">
            <v>23011.288171614193</v>
          </cell>
          <cell r="F203">
            <v>-306.14166592302718</v>
          </cell>
          <cell r="G203">
            <v>796</v>
          </cell>
          <cell r="H203">
            <v>6.9355982650548661E-4</v>
          </cell>
          <cell r="I203">
            <v>5273.873367182422</v>
          </cell>
          <cell r="J203">
            <v>18.491095307465002</v>
          </cell>
          <cell r="K203">
            <v>27997.510968181054</v>
          </cell>
          <cell r="M203">
            <v>27973.022865766194</v>
          </cell>
          <cell r="N203">
            <v>5475.3438666564571</v>
          </cell>
          <cell r="O203">
            <v>-5267.8763600750281</v>
          </cell>
          <cell r="P203">
            <v>-182.97940416657002</v>
          </cell>
          <cell r="Q203">
            <v>-0.16296328630473597</v>
          </cell>
        </row>
        <row r="204">
          <cell r="A204" t="str">
            <v>6055</v>
          </cell>
          <cell r="B204" t="str">
            <v>Central Noble Com School Corp</v>
          </cell>
          <cell r="C204">
            <v>144</v>
          </cell>
          <cell r="D204">
            <v>7.6183623695223182E-4</v>
          </cell>
          <cell r="E204">
            <v>23172.20627071639</v>
          </cell>
          <cell r="F204">
            <v>-177.14756258198031</v>
          </cell>
          <cell r="G204">
            <v>1429</v>
          </cell>
          <cell r="H204">
            <v>1.2450967237139954E-3</v>
          </cell>
          <cell r="I204">
            <v>9467.7952785222114</v>
          </cell>
          <cell r="J204">
            <v>23.91251134419872</v>
          </cell>
          <cell r="K204">
            <v>32486.766498000819</v>
          </cell>
          <cell r="M204">
            <v>27943.145258255056</v>
          </cell>
          <cell r="N204">
            <v>9621.3590219228518</v>
          </cell>
          <cell r="O204">
            <v>-4948.0865501206463</v>
          </cell>
          <cell r="P204">
            <v>-129.65123205644159</v>
          </cell>
          <cell r="Q204">
            <v>-0.13517382644808429</v>
          </cell>
        </row>
        <row r="205">
          <cell r="A205" t="str">
            <v>6060</v>
          </cell>
          <cell r="B205" t="str">
            <v>East Noble School Corporation</v>
          </cell>
          <cell r="C205">
            <v>471</v>
          </cell>
          <cell r="D205">
            <v>2.4918393583645915E-3</v>
          </cell>
          <cell r="E205">
            <v>75792.424677134855</v>
          </cell>
          <cell r="F205">
            <v>678.01532315312943</v>
          </cell>
          <cell r="G205">
            <v>3906</v>
          </cell>
          <cell r="H205">
            <v>3.4033224652392346E-3</v>
          </cell>
          <cell r="I205">
            <v>25879.082125897661</v>
          </cell>
          <cell r="J205">
            <v>121.64917295598934</v>
          </cell>
          <cell r="K205">
            <v>102471.17129914164</v>
          </cell>
          <cell r="M205">
            <v>88851.8148461167</v>
          </cell>
          <cell r="N205">
            <v>26446.829815342644</v>
          </cell>
          <cell r="O205">
            <v>-12381.374845828715</v>
          </cell>
          <cell r="P205">
            <v>-446.09851648899348</v>
          </cell>
          <cell r="Q205">
            <v>-0.11125432913788208</v>
          </cell>
        </row>
        <row r="206">
          <cell r="A206" t="str">
            <v>6065</v>
          </cell>
          <cell r="B206" t="str">
            <v>West Noble School Corporation</v>
          </cell>
          <cell r="C206">
            <v>307</v>
          </cell>
          <cell r="D206">
            <v>1.624192532946772E-3</v>
          </cell>
          <cell r="E206">
            <v>49401.856424374528</v>
          </cell>
          <cell r="F206">
            <v>-60.140265494032064</v>
          </cell>
          <cell r="G206">
            <v>2682</v>
          </cell>
          <cell r="H206">
            <v>2.3368435360398431E-3</v>
          </cell>
          <cell r="I206">
            <v>17769.50800349655</v>
          </cell>
          <cell r="J206">
            <v>11.860455541263946</v>
          </cell>
          <cell r="K206">
            <v>67123.084617918299</v>
          </cell>
          <cell r="M206">
            <v>55227.215111066915</v>
          </cell>
          <cell r="N206">
            <v>18055.853619468598</v>
          </cell>
          <cell r="O206">
            <v>-5885.498952186419</v>
          </cell>
          <cell r="P206">
            <v>-274.48516043078416</v>
          </cell>
          <cell r="Q206">
            <v>-8.405739851407816E-2</v>
          </cell>
        </row>
        <row r="207">
          <cell r="A207" t="str">
            <v>6080</v>
          </cell>
          <cell r="B207" t="str">
            <v>Rising Sun-Ohio Co Com</v>
          </cell>
          <cell r="C207">
            <v>94</v>
          </cell>
          <cell r="D207">
            <v>4.9730976578826248E-4</v>
          </cell>
          <cell r="E207">
            <v>15126.301315606534</v>
          </cell>
          <cell r="F207">
            <v>-375.58271090610651</v>
          </cell>
          <cell r="G207">
            <v>835</v>
          </cell>
          <cell r="H207">
            <v>7.2754077277899665E-4</v>
          </cell>
          <cell r="I207">
            <v>5532.2666602981435</v>
          </cell>
          <cell r="J207">
            <v>11.920040049382806</v>
          </cell>
          <cell r="K207">
            <v>20294.905305047952</v>
          </cell>
          <cell r="M207">
            <v>16305.946928573489</v>
          </cell>
          <cell r="N207">
            <v>5475.3871783939494</v>
          </cell>
          <cell r="O207">
            <v>-1555.2283238730615</v>
          </cell>
          <cell r="P207">
            <v>68.799521953576914</v>
          </cell>
          <cell r="Q207">
            <v>-6.8243239583933663E-2</v>
          </cell>
        </row>
        <row r="208">
          <cell r="A208" t="str">
            <v>6145</v>
          </cell>
          <cell r="B208" t="str">
            <v>Orleans Community Schools</v>
          </cell>
          <cell r="C208">
            <v>177</v>
          </cell>
          <cell r="D208">
            <v>9.3642370792045156E-4</v>
          </cell>
          <cell r="E208">
            <v>28482.503541088896</v>
          </cell>
          <cell r="F208">
            <v>126.58069499511839</v>
          </cell>
          <cell r="G208">
            <v>833</v>
          </cell>
          <cell r="H208">
            <v>7.2579816014958591E-4</v>
          </cell>
          <cell r="I208">
            <v>5519.0157221896452</v>
          </cell>
          <cell r="J208">
            <v>11.917868908200944</v>
          </cell>
          <cell r="K208">
            <v>34140.017827181866</v>
          </cell>
          <cell r="M208">
            <v>29517.847202649642</v>
          </cell>
          <cell r="N208">
            <v>5541.5286772085137</v>
          </cell>
          <cell r="O208">
            <v>-908.76296656562772</v>
          </cell>
          <cell r="P208">
            <v>-10.59508611066758</v>
          </cell>
          <cell r="Q208">
            <v>-2.6222887019630964E-2</v>
          </cell>
        </row>
        <row r="209">
          <cell r="A209" t="str">
            <v>6155</v>
          </cell>
          <cell r="B209" t="str">
            <v>Paoli Community School Corp</v>
          </cell>
          <cell r="C209">
            <v>397</v>
          </cell>
          <cell r="D209">
            <v>2.1003401810419167E-3</v>
          </cell>
          <cell r="E209">
            <v>63884.485343572269</v>
          </cell>
          <cell r="F209">
            <v>423.15267947706161</v>
          </cell>
          <cell r="G209">
            <v>1526</v>
          </cell>
          <cell r="H209">
            <v>1.3296134362404178E-3</v>
          </cell>
          <cell r="I209">
            <v>10110.465776784391</v>
          </cell>
          <cell r="J209">
            <v>48.620397697612134</v>
          </cell>
          <cell r="K209">
            <v>74466.724197531337</v>
          </cell>
          <cell r="M209">
            <v>59523.429116490486</v>
          </cell>
          <cell r="N209">
            <v>10195.059368908951</v>
          </cell>
          <cell r="O209">
            <v>4784.2089065588443</v>
          </cell>
          <cell r="P209">
            <v>-35.973194426947884</v>
          </cell>
          <cell r="Q209">
            <v>6.8105832689219589E-2</v>
          </cell>
        </row>
        <row r="210">
          <cell r="A210" t="str">
            <v>6160</v>
          </cell>
          <cell r="B210" t="str">
            <v>Springs Valley Com School Corp</v>
          </cell>
          <cell r="C210">
            <v>169</v>
          </cell>
          <cell r="D210">
            <v>8.9409947253421649E-4</v>
          </cell>
          <cell r="E210">
            <v>27195.158748271318</v>
          </cell>
          <cell r="F210">
            <v>297.61602214473896</v>
          </cell>
          <cell r="G210">
            <v>902</v>
          </cell>
          <cell r="H210">
            <v>7.859182958642575E-4</v>
          </cell>
          <cell r="I210">
            <v>5976.1730869328449</v>
          </cell>
          <cell r="J210">
            <v>36.629616877289664</v>
          </cell>
          <cell r="K210">
            <v>33505.577474226193</v>
          </cell>
          <cell r="M210">
            <v>34772.777277069239</v>
          </cell>
          <cell r="N210">
            <v>6029.2461148678194</v>
          </cell>
          <cell r="O210">
            <v>-7280.0025066531816</v>
          </cell>
          <cell r="P210">
            <v>-16.443411057684898</v>
          </cell>
          <cell r="Q210">
            <v>-0.17882559028071943</v>
          </cell>
        </row>
        <row r="211">
          <cell r="A211" t="str">
            <v>6195</v>
          </cell>
          <cell r="B211" t="str">
            <v>Spencer-Owen Community Schools</v>
          </cell>
          <cell r="C211">
            <v>492</v>
          </cell>
          <cell r="D211">
            <v>2.6029404762534587E-3</v>
          </cell>
          <cell r="E211">
            <v>79171.704758281005</v>
          </cell>
          <cell r="F211">
            <v>-1283.4733516033448</v>
          </cell>
          <cell r="G211">
            <v>2656</v>
          </cell>
          <cell r="H211">
            <v>2.3141895718575031E-3</v>
          </cell>
          <cell r="I211">
            <v>17597.245808086071</v>
          </cell>
          <cell r="J211">
            <v>-50.218111008514825</v>
          </cell>
          <cell r="K211">
            <v>95435.259103755205</v>
          </cell>
          <cell r="M211">
            <v>89114.530123290853</v>
          </cell>
          <cell r="N211">
            <v>17696.128538117966</v>
          </cell>
          <cell r="O211">
            <v>-11226.298716613193</v>
          </cell>
          <cell r="P211">
            <v>-149.10084104041016</v>
          </cell>
          <cell r="Q211">
            <v>-0.10650060303170462</v>
          </cell>
        </row>
        <row r="212">
          <cell r="A212" t="str">
            <v>6260</v>
          </cell>
          <cell r="B212" t="str">
            <v>Southwest Parke Com Sch Corp</v>
          </cell>
          <cell r="C212">
            <v>184</v>
          </cell>
          <cell r="D212">
            <v>9.7345741388340731E-4</v>
          </cell>
          <cell r="E212">
            <v>29608.930234804277</v>
          </cell>
          <cell r="F212">
            <v>399.91703618322208</v>
          </cell>
          <cell r="G212">
            <v>884</v>
          </cell>
          <cell r="H212">
            <v>7.7023478219956051E-4</v>
          </cell>
          <cell r="I212">
            <v>5856.9146439563583</v>
          </cell>
          <cell r="J212">
            <v>36.636307019472952</v>
          </cell>
          <cell r="K212">
            <v>35902.398221963325</v>
          </cell>
          <cell r="M212">
            <v>28520.209857020258</v>
          </cell>
          <cell r="N212">
            <v>5890.3510981029376</v>
          </cell>
          <cell r="O212">
            <v>1488.6374139672407</v>
          </cell>
          <cell r="P212">
            <v>3.1998528728936435</v>
          </cell>
          <cell r="Q212">
            <v>4.3354052518519696E-2</v>
          </cell>
        </row>
        <row r="213">
          <cell r="A213" t="str">
            <v>6325</v>
          </cell>
          <cell r="B213" t="str">
            <v>Perry Central Com Schools Corp</v>
          </cell>
          <cell r="C213">
            <v>120</v>
          </cell>
          <cell r="D213">
            <v>6.3486353079352648E-4</v>
          </cell>
          <cell r="E213">
            <v>19310.171892263657</v>
          </cell>
          <cell r="F213">
            <v>-369.43361279723104</v>
          </cell>
          <cell r="G213">
            <v>1076</v>
          </cell>
          <cell r="H213">
            <v>9.3752559462299443E-4</v>
          </cell>
          <cell r="I213">
            <v>7129.0047023722182</v>
          </cell>
          <cell r="J213">
            <v>-6.3317662208401089</v>
          </cell>
          <cell r="K213">
            <v>26063.411215617805</v>
          </cell>
          <cell r="M213">
            <v>17741.941424352044</v>
          </cell>
          <cell r="N213">
            <v>7044.5834510616151</v>
          </cell>
          <cell r="O213">
            <v>1198.7968551143822</v>
          </cell>
          <cell r="P213">
            <v>78.089485089763002</v>
          </cell>
          <cell r="Q213">
            <v>5.1515343382029281E-2</v>
          </cell>
        </row>
        <row r="214">
          <cell r="A214" t="str">
            <v>6340</v>
          </cell>
          <cell r="B214" t="str">
            <v>Cannelton City Schools</v>
          </cell>
          <cell r="C214">
            <v>99</v>
          </cell>
          <cell r="D214">
            <v>5.2376241290465935E-4</v>
          </cell>
          <cell r="E214">
            <v>15930.891811117517</v>
          </cell>
          <cell r="F214">
            <v>-239.45373130597909</v>
          </cell>
          <cell r="G214">
            <v>270</v>
          </cell>
          <cell r="H214">
            <v>2.3525270497045401E-4</v>
          </cell>
          <cell r="I214">
            <v>1788.8766446473039</v>
          </cell>
          <cell r="J214">
            <v>0.21256050746660549</v>
          </cell>
          <cell r="K214">
            <v>17480.527284966309</v>
          </cell>
          <cell r="M214">
            <v>13423.513401982071</v>
          </cell>
          <cell r="N214">
            <v>1786.0916493125915</v>
          </cell>
          <cell r="O214">
            <v>2267.9246778294673</v>
          </cell>
          <cell r="P214">
            <v>2.9975558421790538</v>
          </cell>
          <cell r="Q214">
            <v>0.1493084288522234</v>
          </cell>
        </row>
        <row r="215">
          <cell r="A215" t="str">
            <v>6350</v>
          </cell>
          <cell r="B215" t="str">
            <v>Tell City-Troy Twp School Corp</v>
          </cell>
          <cell r="C215">
            <v>247</v>
          </cell>
          <cell r="D215">
            <v>1.3067607675500087E-3</v>
          </cell>
          <cell r="E215">
            <v>39746.770478242695</v>
          </cell>
          <cell r="F215">
            <v>-556.88028491689329</v>
          </cell>
          <cell r="G215">
            <v>1605</v>
          </cell>
          <cell r="H215">
            <v>1.3984466351021432E-3</v>
          </cell>
          <cell r="I215">
            <v>10633.877832070084</v>
          </cell>
          <cell r="J215">
            <v>18.217501653492945</v>
          </cell>
          <cell r="K215">
            <v>49841.985527049372</v>
          </cell>
          <cell r="M215">
            <v>43291.71191028662</v>
          </cell>
          <cell r="N215">
            <v>10601.204694572751</v>
          </cell>
          <cell r="O215">
            <v>-4101.8217169608179</v>
          </cell>
          <cell r="P215">
            <v>50.890639150826246</v>
          </cell>
          <cell r="Q215">
            <v>-7.5166298894365852E-2</v>
          </cell>
        </row>
        <row r="216">
          <cell r="A216" t="str">
            <v>6375</v>
          </cell>
          <cell r="B216" t="str">
            <v>North Central Parke Comm Schl Corp</v>
          </cell>
          <cell r="C216">
            <v>379</v>
          </cell>
          <cell r="D216">
            <v>2.0051106514228879E-3</v>
          </cell>
          <cell r="E216">
            <v>60987.959559732721</v>
          </cell>
          <cell r="F216">
            <v>103.37365807333845</v>
          </cell>
          <cell r="G216">
            <v>1606</v>
          </cell>
          <cell r="H216">
            <v>1.3993179414168485E-3</v>
          </cell>
          <cell r="I216">
            <v>10640.503301124332</v>
          </cell>
          <cell r="J216">
            <v>18.827940900917383</v>
          </cell>
          <cell r="K216">
            <v>71750.6644598313</v>
          </cell>
          <cell r="M216">
            <v>49671.347443955565</v>
          </cell>
          <cell r="N216">
            <v>10681.187537767069</v>
          </cell>
          <cell r="O216">
            <v>11419.985773850494</v>
          </cell>
          <cell r="P216">
            <v>-21.856295741819849</v>
          </cell>
          <cell r="Q216">
            <v>0.18885916691917781</v>
          </cell>
        </row>
        <row r="217">
          <cell r="A217" t="str">
            <v>6445</v>
          </cell>
          <cell r="B217" t="str">
            <v>Pike County School Corp</v>
          </cell>
          <cell r="C217">
            <v>235</v>
          </cell>
          <cell r="D217">
            <v>1.2432744144706561E-3</v>
          </cell>
          <cell r="E217">
            <v>37815.753289016335</v>
          </cell>
          <cell r="F217">
            <v>-1916.2837759489121</v>
          </cell>
          <cell r="G217">
            <v>1900</v>
          </cell>
          <cell r="H217">
            <v>1.6554819979402318E-3</v>
          </cell>
          <cell r="I217">
            <v>12588.391203073619</v>
          </cell>
          <cell r="J217">
            <v>24.064750267476484</v>
          </cell>
          <cell r="K217">
            <v>48511.925466408517</v>
          </cell>
          <cell r="M217">
            <v>37960.515647949927</v>
          </cell>
          <cell r="N217">
            <v>12478.917802934327</v>
          </cell>
          <cell r="O217">
            <v>-2061.0461348825047</v>
          </cell>
          <cell r="P217">
            <v>133.53815040676818</v>
          </cell>
          <cell r="Q217">
            <v>-3.8214306795350123E-2</v>
          </cell>
        </row>
        <row r="218">
          <cell r="A218" t="str">
            <v>6460</v>
          </cell>
          <cell r="B218" t="str">
            <v>MSD Boone Township</v>
          </cell>
          <cell r="C218">
            <v>114</v>
          </cell>
          <cell r="D218">
            <v>6.0312035425385017E-4</v>
          </cell>
          <cell r="E218">
            <v>18344.663297650477</v>
          </cell>
          <cell r="F218">
            <v>86.870024430481863</v>
          </cell>
          <cell r="G218">
            <v>1049</v>
          </cell>
          <cell r="H218">
            <v>9.1400032412594905E-4</v>
          </cell>
          <cell r="I218">
            <v>6950.1170379074883</v>
          </cell>
          <cell r="J218">
            <v>-5.4021277602050759</v>
          </cell>
          <cell r="K218">
            <v>25376.248232228241</v>
          </cell>
          <cell r="M218">
            <v>20263.577302658185</v>
          </cell>
          <cell r="N218">
            <v>6972.7550525709303</v>
          </cell>
          <cell r="O218">
            <v>-1832.0439805772257</v>
          </cell>
          <cell r="P218">
            <v>-28.040142423647012</v>
          </cell>
          <cell r="Q218">
            <v>-6.8294221804198044E-2</v>
          </cell>
        </row>
        <row r="219">
          <cell r="A219" t="str">
            <v>6470</v>
          </cell>
          <cell r="B219" t="str">
            <v>Duneland School Corporation</v>
          </cell>
          <cell r="C219">
            <v>575</v>
          </cell>
          <cell r="D219">
            <v>3.0420544183856479E-3</v>
          </cell>
          <cell r="E219">
            <v>92527.906983763372</v>
          </cell>
          <cell r="F219">
            <v>388.84121624022373</v>
          </cell>
          <cell r="G219">
            <v>6033</v>
          </cell>
          <cell r="H219">
            <v>5.256590996617589E-3</v>
          </cell>
          <cell r="I219">
            <v>39971.454804285866</v>
          </cell>
          <cell r="J219">
            <v>120.30935491535638</v>
          </cell>
          <cell r="K219">
            <v>133008.51235920482</v>
          </cell>
          <cell r="M219">
            <v>95235.252594995647</v>
          </cell>
          <cell r="N219">
            <v>40150.458412132451</v>
          </cell>
          <cell r="O219">
            <v>-2318.5043949920509</v>
          </cell>
          <cell r="P219">
            <v>-58.69425293122913</v>
          </cell>
          <cell r="Q219">
            <v>-1.7558711552640292E-2</v>
          </cell>
        </row>
        <row r="220">
          <cell r="A220" t="str">
            <v>6510</v>
          </cell>
          <cell r="B220" t="str">
            <v>East Porter County School Corp</v>
          </cell>
          <cell r="C220">
            <v>215</v>
          </cell>
          <cell r="D220">
            <v>1.1374638260050684E-3</v>
          </cell>
          <cell r="E220">
            <v>34597.391306972393</v>
          </cell>
          <cell r="F220">
            <v>-1518.4623397921096</v>
          </cell>
          <cell r="G220">
            <v>2245</v>
          </cell>
          <cell r="H220">
            <v>1.9560826765135896E-3</v>
          </cell>
          <cell r="I220">
            <v>14874.178026789617</v>
          </cell>
          <cell r="J220">
            <v>47.126654818443058</v>
          </cell>
          <cell r="K220">
            <v>48000.233648788344</v>
          </cell>
          <cell r="M220">
            <v>31367.981806610522</v>
          </cell>
          <cell r="N220">
            <v>15108.040303741664</v>
          </cell>
          <cell r="O220">
            <v>1710.9471605697618</v>
          </cell>
          <cell r="P220">
            <v>-186.7356221336031</v>
          </cell>
          <cell r="Q220">
            <v>3.2795653957154218E-2</v>
          </cell>
        </row>
        <row r="221">
          <cell r="A221" t="str">
            <v>6520</v>
          </cell>
          <cell r="B221" t="str">
            <v>Porter Township School Corp</v>
          </cell>
          <cell r="C221">
            <v>115</v>
          </cell>
          <cell r="D221">
            <v>6.0841088367712961E-4</v>
          </cell>
          <cell r="E221">
            <v>18505.581396752674</v>
          </cell>
          <cell r="F221">
            <v>77.978955848502665</v>
          </cell>
          <cell r="G221">
            <v>1533</v>
          </cell>
          <cell r="H221">
            <v>1.3357125804433555E-3</v>
          </cell>
          <cell r="I221">
            <v>10156.844060164136</v>
          </cell>
          <cell r="J221">
            <v>17.619067104464193</v>
          </cell>
          <cell r="K221">
            <v>28758.023479869775</v>
          </cell>
          <cell r="M221">
            <v>18189.353992997778</v>
          </cell>
          <cell r="N221">
            <v>10263.273543249421</v>
          </cell>
          <cell r="O221">
            <v>394.2063596033986</v>
          </cell>
          <cell r="P221">
            <v>-88.810415980820835</v>
          </cell>
          <cell r="Q221">
            <v>1.0733488259863483E-2</v>
          </cell>
        </row>
        <row r="222">
          <cell r="A222" t="str">
            <v>6530</v>
          </cell>
          <cell r="B222" t="str">
            <v>Union Township School Corp</v>
          </cell>
          <cell r="C222">
            <v>108</v>
          </cell>
          <cell r="D222">
            <v>5.7137717771417386E-4</v>
          </cell>
          <cell r="E222">
            <v>17379.154703037293</v>
          </cell>
          <cell r="F222">
            <v>-81.421524649973435</v>
          </cell>
          <cell r="G222">
            <v>1623</v>
          </cell>
          <cell r="H222">
            <v>1.4141301487668402E-3</v>
          </cell>
          <cell r="I222">
            <v>10753.136275046571</v>
          </cell>
          <cell r="J222">
            <v>11.635789674706757</v>
          </cell>
          <cell r="K222">
            <v>28062.505243108597</v>
          </cell>
          <cell r="M222">
            <v>15646.877849716502</v>
          </cell>
          <cell r="N222">
            <v>10826.125827439073</v>
          </cell>
          <cell r="O222">
            <v>1650.8553286708175</v>
          </cell>
          <cell r="P222">
            <v>-61.353762717795689</v>
          </cell>
          <cell r="Q222">
            <v>6.0042358069275492E-2</v>
          </cell>
        </row>
        <row r="223">
          <cell r="A223" t="str">
            <v>6550</v>
          </cell>
          <cell r="B223" t="str">
            <v>Portage Township Schools</v>
          </cell>
          <cell r="C223">
            <v>1386</v>
          </cell>
          <cell r="D223">
            <v>7.3326737806652309E-3</v>
          </cell>
          <cell r="E223">
            <v>223032.48535564524</v>
          </cell>
          <cell r="F223">
            <v>722.87844333573594</v>
          </cell>
          <cell r="G223">
            <v>8193</v>
          </cell>
          <cell r="H223">
            <v>7.1386126363812211E-3</v>
          </cell>
          <cell r="I223">
            <v>54282.467961464303</v>
          </cell>
          <cell r="J223">
            <v>135.131625120026</v>
          </cell>
          <cell r="K223">
            <v>278172.96338556526</v>
          </cell>
          <cell r="M223">
            <v>219806.96770850109</v>
          </cell>
          <cell r="N223">
            <v>54683.816237623229</v>
          </cell>
          <cell r="O223">
            <v>3948.3960904798878</v>
          </cell>
          <cell r="P223">
            <v>-266.21665103889973</v>
          </cell>
          <cell r="Q223">
            <v>1.3414583129186981E-2</v>
          </cell>
        </row>
        <row r="224">
          <cell r="A224" t="str">
            <v>6560</v>
          </cell>
          <cell r="B224" t="str">
            <v>Valparaiso Community Schools</v>
          </cell>
          <cell r="C224">
            <v>601</v>
          </cell>
          <cell r="D224">
            <v>3.1796081833909118E-3</v>
          </cell>
          <cell r="E224">
            <v>96711.77756042048</v>
          </cell>
          <cell r="F224">
            <v>607.4071309328283</v>
          </cell>
          <cell r="G224">
            <v>6602</v>
          </cell>
          <cell r="H224">
            <v>5.7523642896849534E-3</v>
          </cell>
          <cell r="I224">
            <v>43741.346696153705</v>
          </cell>
          <cell r="J224">
            <v>183.32145664134441</v>
          </cell>
          <cell r="K224">
            <v>141243.85284414835</v>
          </cell>
          <cell r="M224">
            <v>107051.45340189786</v>
          </cell>
          <cell r="N224">
            <v>44201.933812189884</v>
          </cell>
          <cell r="O224">
            <v>-9732.2687105445511</v>
          </cell>
          <cell r="P224">
            <v>-277.26565939483407</v>
          </cell>
          <cell r="Q224">
            <v>-6.6177257609257009E-2</v>
          </cell>
        </row>
        <row r="225">
          <cell r="A225" t="str">
            <v>6590</v>
          </cell>
          <cell r="B225" t="str">
            <v>MSD Mount Vernon</v>
          </cell>
          <cell r="C225">
            <v>358</v>
          </cell>
          <cell r="D225">
            <v>1.8940095335340207E-3</v>
          </cell>
          <cell r="E225">
            <v>57608.679478586579</v>
          </cell>
          <cell r="F225">
            <v>-221.68131252413878</v>
          </cell>
          <cell r="G225">
            <v>2621</v>
          </cell>
          <cell r="H225">
            <v>2.2836938508428144E-3</v>
          </cell>
          <cell r="I225">
            <v>17365.354391187346</v>
          </cell>
          <cell r="J225">
            <v>65.795881010279118</v>
          </cell>
          <cell r="K225">
            <v>74818.148438260076</v>
          </cell>
          <cell r="M225">
            <v>61261.670787272087</v>
          </cell>
          <cell r="N225">
            <v>17243.30696851735</v>
          </cell>
          <cell r="O225">
            <v>-3874.6726212096473</v>
          </cell>
          <cell r="P225">
            <v>187.8433036802744</v>
          </cell>
          <cell r="Q225">
            <v>-4.6963000601034928E-2</v>
          </cell>
        </row>
        <row r="226">
          <cell r="A226" t="str">
            <v>6600</v>
          </cell>
          <cell r="B226" t="str">
            <v>MSD North Posey Co Schools</v>
          </cell>
          <cell r="C226">
            <v>118</v>
          </cell>
          <cell r="D226">
            <v>6.2428247194696771E-4</v>
          </cell>
          <cell r="E226">
            <v>18988.335694059264</v>
          </cell>
          <cell r="F226">
            <v>-358.48471066337152</v>
          </cell>
          <cell r="G226">
            <v>1586</v>
          </cell>
          <cell r="H226">
            <v>1.3818918151227409E-3</v>
          </cell>
          <cell r="I226">
            <v>10507.993920039347</v>
          </cell>
          <cell r="J226">
            <v>30.441702196178085</v>
          </cell>
          <cell r="K226">
            <v>29168.286605631416</v>
          </cell>
          <cell r="M226">
            <v>20294.83770012089</v>
          </cell>
          <cell r="N226">
            <v>10408.383518252625</v>
          </cell>
          <cell r="O226">
            <v>-1664.9867167249977</v>
          </cell>
          <cell r="P226">
            <v>130.05210398290001</v>
          </cell>
          <cell r="Q226">
            <v>-4.9992624611764104E-2</v>
          </cell>
        </row>
        <row r="227">
          <cell r="A227" t="str">
            <v>6620</v>
          </cell>
          <cell r="B227" t="str">
            <v>Eastern Pulaski Community Sch Corp</v>
          </cell>
          <cell r="C227">
            <v>179</v>
          </cell>
          <cell r="D227">
            <v>9.4700476676701033E-4</v>
          </cell>
          <cell r="E227">
            <v>28804.339739293289</v>
          </cell>
          <cell r="F227">
            <v>-304.4378938857335</v>
          </cell>
          <cell r="G227">
            <v>1126</v>
          </cell>
          <cell r="H227">
            <v>9.8109091035826382E-4</v>
          </cell>
          <cell r="I227">
            <v>7460.278155084683</v>
          </cell>
          <cell r="J227">
            <v>5.8622265185686047</v>
          </cell>
          <cell r="K227">
            <v>35966.04222701081</v>
          </cell>
          <cell r="M227">
            <v>32899.749674221275</v>
          </cell>
          <cell r="N227">
            <v>7440.4107295443473</v>
          </cell>
          <cell r="O227">
            <v>-4399.8478288137194</v>
          </cell>
          <cell r="P227">
            <v>25.729652058904321</v>
          </cell>
          <cell r="Q227">
            <v>-0.10843085731375787</v>
          </cell>
        </row>
        <row r="228">
          <cell r="A228" t="str">
            <v>6630</v>
          </cell>
          <cell r="B228" t="str">
            <v>West Central School Corp</v>
          </cell>
          <cell r="C228">
            <v>115</v>
          </cell>
          <cell r="D228">
            <v>6.0841088367712961E-4</v>
          </cell>
          <cell r="E228">
            <v>18505.581396752674</v>
          </cell>
          <cell r="F228">
            <v>-211.39869474714214</v>
          </cell>
          <cell r="G228">
            <v>796</v>
          </cell>
          <cell r="H228">
            <v>6.9355982650548661E-4</v>
          </cell>
          <cell r="I228">
            <v>5273.873367182422</v>
          </cell>
          <cell r="J228">
            <v>14.396617608664201</v>
          </cell>
          <cell r="K228">
            <v>23582.45268679662</v>
          </cell>
          <cell r="M228">
            <v>19965.308583480561</v>
          </cell>
          <cell r="N228">
            <v>5279.4327460859949</v>
          </cell>
          <cell r="O228">
            <v>-1671.125881475029</v>
          </cell>
          <cell r="P228">
            <v>8.8372387050912948</v>
          </cell>
          <cell r="Q228">
            <v>-6.5846927131040595E-2</v>
          </cell>
        </row>
        <row r="229">
          <cell r="A229" t="str">
            <v>6705</v>
          </cell>
          <cell r="B229" t="str">
            <v>South Putnam Community Schools</v>
          </cell>
          <cell r="C229">
            <v>161</v>
          </cell>
          <cell r="D229">
            <v>8.5177523714798141E-4</v>
          </cell>
          <cell r="E229">
            <v>25907.813955453741</v>
          </cell>
          <cell r="F229">
            <v>-203.54311320689521</v>
          </cell>
          <cell r="G229">
            <v>1177</v>
          </cell>
          <cell r="H229">
            <v>1.0255275324082384E-3</v>
          </cell>
          <cell r="I229">
            <v>7798.1770768513952</v>
          </cell>
          <cell r="J229">
            <v>23.698807185944133</v>
          </cell>
          <cell r="K229">
            <v>33526.146726284183</v>
          </cell>
          <cell r="M229">
            <v>26328.032599108272</v>
          </cell>
          <cell r="N229">
            <v>7941.0961008886634</v>
          </cell>
          <cell r="O229">
            <v>-623.76175686142597</v>
          </cell>
          <cell r="P229">
            <v>-119.22021685132404</v>
          </cell>
          <cell r="Q229">
            <v>-2.1680795570177901E-2</v>
          </cell>
        </row>
        <row r="230">
          <cell r="A230" t="str">
            <v>6715</v>
          </cell>
          <cell r="B230" t="str">
            <v>North Putnam Community Schools</v>
          </cell>
          <cell r="C230">
            <v>203</v>
          </cell>
          <cell r="D230">
            <v>1.0739774729257158E-3</v>
          </cell>
          <cell r="E230">
            <v>32666.374117746025</v>
          </cell>
          <cell r="F230">
            <v>-625.9795051189576</v>
          </cell>
          <cell r="G230">
            <v>1707</v>
          </cell>
          <cell r="H230">
            <v>1.4873198792020926E-3</v>
          </cell>
          <cell r="I230">
            <v>11309.67567560351</v>
          </cell>
          <cell r="J230">
            <v>91.148086945791874</v>
          </cell>
          <cell r="K230">
            <v>43441.218375176366</v>
          </cell>
          <cell r="M230">
            <v>36232.25741258834</v>
          </cell>
          <cell r="N230">
            <v>11553.846090276462</v>
          </cell>
          <cell r="O230">
            <v>-4191.8627999612727</v>
          </cell>
          <cell r="P230">
            <v>-153.02232772715979</v>
          </cell>
          <cell r="Q230">
            <v>-9.0923611870299362E-2</v>
          </cell>
        </row>
        <row r="231">
          <cell r="A231" t="str">
            <v>6750</v>
          </cell>
          <cell r="B231" t="str">
            <v>Cloverdale Community Schools</v>
          </cell>
          <cell r="C231">
            <v>217</v>
          </cell>
          <cell r="D231">
            <v>1.1480448848516271E-3</v>
          </cell>
          <cell r="E231">
            <v>34919.227505176779</v>
          </cell>
          <cell r="F231">
            <v>-870.56805128552514</v>
          </cell>
          <cell r="G231">
            <v>1146</v>
          </cell>
          <cell r="H231">
            <v>9.9851703665237144E-4</v>
          </cell>
          <cell r="I231">
            <v>7592.7875361696679</v>
          </cell>
          <cell r="J231">
            <v>7.3920010717420155</v>
          </cell>
          <cell r="K231">
            <v>41648.838991132667</v>
          </cell>
          <cell r="M231">
            <v>34875.566890456466</v>
          </cell>
          <cell r="N231">
            <v>7666.8289819470547</v>
          </cell>
          <cell r="O231">
            <v>-826.90743656521227</v>
          </cell>
          <cell r="P231">
            <v>-66.649444705644783</v>
          </cell>
          <cell r="Q231">
            <v>-2.1003915340144046E-2</v>
          </cell>
        </row>
        <row r="232">
          <cell r="A232" t="str">
            <v>6755</v>
          </cell>
          <cell r="B232" t="str">
            <v>Greencastle Community School Corp</v>
          </cell>
          <cell r="C232">
            <v>301</v>
          </cell>
          <cell r="D232">
            <v>1.5924493564070956E-3</v>
          </cell>
          <cell r="E232">
            <v>48436.34782976134</v>
          </cell>
          <cell r="F232">
            <v>-71.548069713702716</v>
          </cell>
          <cell r="G232">
            <v>1904</v>
          </cell>
          <cell r="H232">
            <v>1.6589672231990533E-3</v>
          </cell>
          <cell r="I232">
            <v>12614.893079290616</v>
          </cell>
          <cell r="J232">
            <v>12.764083544228924</v>
          </cell>
          <cell r="K232">
            <v>60992.456922882484</v>
          </cell>
          <cell r="M232">
            <v>57122.267837073487</v>
          </cell>
          <cell r="N232">
            <v>12818.17858697653</v>
          </cell>
          <cell r="O232">
            <v>-8757.4680770258492</v>
          </cell>
          <cell r="P232">
            <v>-190.5214241416852</v>
          </cell>
          <cell r="Q232">
            <v>-0.12793726604082184</v>
          </cell>
        </row>
        <row r="233">
          <cell r="A233" t="str">
            <v>6795</v>
          </cell>
          <cell r="B233" t="str">
            <v>Union School Corporation</v>
          </cell>
          <cell r="C233">
            <v>103</v>
          </cell>
          <cell r="D233">
            <v>5.4492453059777689E-4</v>
          </cell>
          <cell r="E233">
            <v>16574.564207526306</v>
          </cell>
          <cell r="F233">
            <v>-81.396218305195362</v>
          </cell>
          <cell r="G233">
            <v>466</v>
          </cell>
          <cell r="H233">
            <v>4.0602874265270952E-4</v>
          </cell>
          <cell r="I233">
            <v>3087.4685792801615</v>
          </cell>
          <cell r="J233">
            <v>5.7846507972271866</v>
          </cell>
          <cell r="K233">
            <v>19586.4212192985</v>
          </cell>
          <cell r="M233">
            <v>15646.90315606128</v>
          </cell>
          <cell r="N233">
            <v>3140.9946066995572</v>
          </cell>
          <cell r="O233">
            <v>846.26483315983023</v>
          </cell>
          <cell r="P233">
            <v>-47.741376622168445</v>
          </cell>
          <cell r="Q233">
            <v>4.2502012019694994E-2</v>
          </cell>
        </row>
        <row r="234">
          <cell r="A234" t="str">
            <v>6805</v>
          </cell>
          <cell r="B234" t="str">
            <v>Randolph Southern School Corp</v>
          </cell>
          <cell r="C234">
            <v>113</v>
          </cell>
          <cell r="D234">
            <v>5.9782982483057084E-4</v>
          </cell>
          <cell r="E234">
            <v>18183.74519854828</v>
          </cell>
          <cell r="F234">
            <v>-169.6550096161991</v>
          </cell>
          <cell r="G234">
            <v>534</v>
          </cell>
          <cell r="H234">
            <v>4.6527757205267568E-4</v>
          </cell>
          <cell r="I234">
            <v>3538.000474969112</v>
          </cell>
          <cell r="J234">
            <v>6.9923754726564766</v>
          </cell>
          <cell r="K234">
            <v>21559.083039373847</v>
          </cell>
          <cell r="M234">
            <v>20642.539112020251</v>
          </cell>
          <cell r="N234">
            <v>3611.8223880607788</v>
          </cell>
          <cell r="O234">
            <v>-2628.44892308817</v>
          </cell>
          <cell r="P234">
            <v>-66.829537619010353</v>
          </cell>
          <cell r="Q234">
            <v>-0.11112551697962346</v>
          </cell>
        </row>
        <row r="235">
          <cell r="A235" t="str">
            <v>6820</v>
          </cell>
          <cell r="B235" t="str">
            <v>Monroe Central School Corp</v>
          </cell>
          <cell r="C235">
            <v>124</v>
          </cell>
          <cell r="D235">
            <v>6.5602564848664402E-4</v>
          </cell>
          <cell r="E235">
            <v>19953.844288672444</v>
          </cell>
          <cell r="F235">
            <v>205.27331878318</v>
          </cell>
          <cell r="G235">
            <v>885</v>
          </cell>
          <cell r="H235">
            <v>7.7110608851426593E-4</v>
          </cell>
          <cell r="I235">
            <v>5863.5401130106075</v>
          </cell>
          <cell r="J235">
            <v>53.256329464863484</v>
          </cell>
          <cell r="K235">
            <v>26075.914049931096</v>
          </cell>
          <cell r="M235">
            <v>22288.441127237122</v>
          </cell>
          <cell r="N235">
            <v>6012.8009924775206</v>
          </cell>
          <cell r="O235">
            <v>-2129.3235197814975</v>
          </cell>
          <cell r="P235">
            <v>-96.004550002049655</v>
          </cell>
          <cell r="Q235">
            <v>-7.863004953529526E-2</v>
          </cell>
        </row>
        <row r="236">
          <cell r="A236" t="str">
            <v>6825</v>
          </cell>
          <cell r="B236" t="str">
            <v>Randolph Central School Corp</v>
          </cell>
          <cell r="C236">
            <v>304</v>
          </cell>
          <cell r="D236">
            <v>1.6083209446769338E-3</v>
          </cell>
          <cell r="E236">
            <v>48919.102127067934</v>
          </cell>
          <cell r="F236">
            <v>-496.28059962425323</v>
          </cell>
          <cell r="G236">
            <v>1525</v>
          </cell>
          <cell r="H236">
            <v>1.3287421299257125E-3</v>
          </cell>
          <cell r="I236">
            <v>10103.840307730143</v>
          </cell>
          <cell r="J236">
            <v>30.447972486992512</v>
          </cell>
          <cell r="K236">
            <v>58557.109807660818</v>
          </cell>
          <cell r="M236">
            <v>52884.614246710451</v>
          </cell>
          <cell r="N236">
            <v>10269.488081636375</v>
          </cell>
          <cell r="O236">
            <v>-4461.7927192667703</v>
          </cell>
          <cell r="P236">
            <v>-135.19980141923952</v>
          </cell>
          <cell r="Q236">
            <v>-7.2790085698401924E-2</v>
          </cell>
        </row>
        <row r="237">
          <cell r="A237" t="str">
            <v>6835</v>
          </cell>
          <cell r="B237" t="str">
            <v>Randolph Eastern School Corp</v>
          </cell>
          <cell r="C237">
            <v>215</v>
          </cell>
          <cell r="D237">
            <v>1.1374638260050684E-3</v>
          </cell>
          <cell r="E237">
            <v>34597.391306972393</v>
          </cell>
          <cell r="F237">
            <v>137.87142190999293</v>
          </cell>
          <cell r="G237">
            <v>862</v>
          </cell>
          <cell r="H237">
            <v>7.5106604327604203E-4</v>
          </cell>
          <cell r="I237">
            <v>5711.1543247628742</v>
          </cell>
          <cell r="J237">
            <v>47.928515642929597</v>
          </cell>
          <cell r="K237">
            <v>40494.345569288191</v>
          </cell>
          <cell r="M237">
            <v>36678.364917912913</v>
          </cell>
          <cell r="N237">
            <v>5848.728370761798</v>
          </cell>
          <cell r="O237">
            <v>-1943.1021890305274</v>
          </cell>
          <cell r="P237">
            <v>-89.645530355994197</v>
          </cell>
          <cell r="Q237">
            <v>-4.7798886831700249E-2</v>
          </cell>
        </row>
        <row r="238">
          <cell r="A238" t="str">
            <v>6865</v>
          </cell>
          <cell r="B238" t="str">
            <v>South Ripley Com Sch Corp</v>
          </cell>
          <cell r="C238">
            <v>216</v>
          </cell>
          <cell r="D238">
            <v>1.1427543554283477E-3</v>
          </cell>
          <cell r="E238">
            <v>34758.309406074586</v>
          </cell>
          <cell r="F238">
            <v>-467.58510276612287</v>
          </cell>
          <cell r="G238">
            <v>1215</v>
          </cell>
          <cell r="H238">
            <v>1.058637172367043E-3</v>
          </cell>
          <cell r="I238">
            <v>8049.9449009128675</v>
          </cell>
          <cell r="J238">
            <v>35.892689492271529</v>
          </cell>
          <cell r="K238">
            <v>42376.561893713602</v>
          </cell>
          <cell r="M238">
            <v>34007.576152158377</v>
          </cell>
          <cell r="N238">
            <v>8284.008332973719</v>
          </cell>
          <cell r="O238">
            <v>283.14815115008969</v>
          </cell>
          <cell r="P238">
            <v>-198.17074256857995</v>
          </cell>
          <cell r="Q238">
            <v>2.0093219399567341E-3</v>
          </cell>
        </row>
        <row r="239">
          <cell r="A239" t="str">
            <v>6895</v>
          </cell>
          <cell r="B239" t="str">
            <v>Batesville Community School Corp</v>
          </cell>
          <cell r="C239">
            <v>228</v>
          </cell>
          <cell r="D239">
            <v>1.2062407085077003E-3</v>
          </cell>
          <cell r="E239">
            <v>36689.326595300954</v>
          </cell>
          <cell r="F239">
            <v>-298.95395293952606</v>
          </cell>
          <cell r="G239">
            <v>2229</v>
          </cell>
          <cell r="H239">
            <v>1.9421417754783036E-3</v>
          </cell>
          <cell r="I239">
            <v>14768.170521921631</v>
          </cell>
          <cell r="J239">
            <v>23.005656972854922</v>
          </cell>
          <cell r="K239">
            <v>51181.548821255914</v>
          </cell>
          <cell r="M239">
            <v>34176.20730198497</v>
          </cell>
          <cell r="N239">
            <v>14997.932534953603</v>
          </cell>
          <cell r="O239">
            <v>2214.1653403764576</v>
          </cell>
          <cell r="P239">
            <v>-206.75635605911702</v>
          </cell>
          <cell r="Q239">
            <v>4.0822452430767632E-2</v>
          </cell>
        </row>
        <row r="240">
          <cell r="A240" t="str">
            <v>6900</v>
          </cell>
          <cell r="B240" t="str">
            <v>Jac-Cen-Del Community Sch Corp</v>
          </cell>
          <cell r="C240">
            <v>181</v>
          </cell>
          <cell r="D240">
            <v>9.575858256135691E-4</v>
          </cell>
          <cell r="E240">
            <v>29126.175937497683</v>
          </cell>
          <cell r="F240">
            <v>-503.16474166052285</v>
          </cell>
          <cell r="G240">
            <v>845</v>
          </cell>
          <cell r="H240">
            <v>7.3625383592605047E-4</v>
          </cell>
          <cell r="I240">
            <v>5598.5213508406359</v>
          </cell>
          <cell r="J240">
            <v>11.603260451789538</v>
          </cell>
          <cell r="K240">
            <v>34233.135807129584</v>
          </cell>
          <cell r="M240">
            <v>25710.66754895027</v>
          </cell>
          <cell r="N240">
            <v>5680.1157756591665</v>
          </cell>
          <cell r="O240">
            <v>2912.3436468868895</v>
          </cell>
          <cell r="P240">
            <v>-69.991164366741032</v>
          </cell>
          <cell r="Q240">
            <v>9.0547357583518118E-2</v>
          </cell>
        </row>
        <row r="241">
          <cell r="A241" t="str">
            <v>6910</v>
          </cell>
          <cell r="B241" t="str">
            <v>Milan Community Schools</v>
          </cell>
          <cell r="C241">
            <v>142</v>
          </cell>
          <cell r="D241">
            <v>7.5125517810567305E-4</v>
          </cell>
          <cell r="E241">
            <v>22850.370072511996</v>
          </cell>
          <cell r="F241">
            <v>-354.37717774187331</v>
          </cell>
          <cell r="G241">
            <v>1136</v>
          </cell>
          <cell r="H241">
            <v>9.8980397350531763E-4</v>
          </cell>
          <cell r="I241">
            <v>7526.5328456271754</v>
          </cell>
          <cell r="J241">
            <v>11.497268062359581</v>
          </cell>
          <cell r="K241">
            <v>30034.023008459655</v>
          </cell>
          <cell r="M241">
            <v>21252.17549815551</v>
          </cell>
          <cell r="N241">
            <v>7651.0911479509496</v>
          </cell>
          <cell r="O241">
            <v>1243.8173966146132</v>
          </cell>
          <cell r="P241">
            <v>-113.06103426141453</v>
          </cell>
          <cell r="Q241">
            <v>3.9122095650926093E-2</v>
          </cell>
        </row>
        <row r="242">
          <cell r="A242" t="str">
            <v>6995</v>
          </cell>
          <cell r="B242" t="str">
            <v>Rush County Schools</v>
          </cell>
          <cell r="C242">
            <v>358</v>
          </cell>
          <cell r="D242">
            <v>1.8940095335340207E-3</v>
          </cell>
          <cell r="E242">
            <v>57608.679478586579</v>
          </cell>
          <cell r="F242">
            <v>822.37082365401147</v>
          </cell>
          <cell r="G242">
            <v>2356</v>
          </cell>
          <cell r="H242">
            <v>2.0527976774458874E-3</v>
          </cell>
          <cell r="I242">
            <v>15609.605091811289</v>
          </cell>
          <cell r="J242">
            <v>52.644429268822932</v>
          </cell>
          <cell r="K242">
            <v>74093.299823320704</v>
          </cell>
          <cell r="M242">
            <v>62305.722923450237</v>
          </cell>
          <cell r="N242">
            <v>15649.32180483358</v>
          </cell>
          <cell r="O242">
            <v>-3874.6726212096473</v>
          </cell>
          <cell r="P242">
            <v>12.927716246531418</v>
          </cell>
          <cell r="Q242">
            <v>-4.9538101330368289E-2</v>
          </cell>
        </row>
        <row r="243">
          <cell r="A243" t="str">
            <v>7150</v>
          </cell>
          <cell r="B243" t="str">
            <v>John Glenn School Corporation</v>
          </cell>
          <cell r="C243">
            <v>162</v>
          </cell>
          <cell r="D243">
            <v>8.5706576657126074E-4</v>
          </cell>
          <cell r="E243">
            <v>26068.732054555938</v>
          </cell>
          <cell r="F243">
            <v>-7.4768940827088954</v>
          </cell>
          <cell r="G243">
            <v>1849</v>
          </cell>
          <cell r="H243">
            <v>1.6110453758902573E-3</v>
          </cell>
          <cell r="I243">
            <v>12250.492281306908</v>
          </cell>
          <cell r="J243">
            <v>66.364559646352063</v>
          </cell>
          <cell r="K243">
            <v>38378.112001426489</v>
          </cell>
          <cell r="M243">
            <v>32878.967252319926</v>
          </cell>
          <cell r="N243">
            <v>12355.85843742384</v>
          </cell>
          <cell r="O243">
            <v>-6817.7120918466971</v>
          </cell>
          <cell r="P243">
            <v>-39.001596470579898</v>
          </cell>
          <cell r="Q243">
            <v>-0.15158041583593238</v>
          </cell>
        </row>
        <row r="244">
          <cell r="A244" t="str">
            <v>7175</v>
          </cell>
          <cell r="B244" t="str">
            <v>Penn-Harris-Madison School Corp</v>
          </cell>
          <cell r="C244">
            <v>794</v>
          </cell>
          <cell r="D244">
            <v>4.2006803620838334E-3</v>
          </cell>
          <cell r="E244">
            <v>127768.97068714454</v>
          </cell>
          <cell r="F244">
            <v>1084.0677074322011</v>
          </cell>
          <cell r="G244">
            <v>11903</v>
          </cell>
          <cell r="H244">
            <v>1.03711590639382E-2</v>
          </cell>
          <cell r="I244">
            <v>78862.958152729101</v>
          </cell>
          <cell r="J244">
            <v>113.2057801662886</v>
          </cell>
          <cell r="K244">
            <v>207829.20232747213</v>
          </cell>
          <cell r="M244">
            <v>153442.03841467918</v>
          </cell>
          <cell r="N244">
            <v>78857.244862481137</v>
          </cell>
          <cell r="O244">
            <v>-24589.000020102438</v>
          </cell>
          <cell r="P244">
            <v>118.91907041425293</v>
          </cell>
          <cell r="Q244">
            <v>-0.10533859857196591</v>
          </cell>
        </row>
        <row r="245">
          <cell r="A245" t="str">
            <v>7200</v>
          </cell>
          <cell r="B245" t="str">
            <v>School City of Mishawaka</v>
          </cell>
          <cell r="C245">
            <v>987</v>
          </cell>
          <cell r="D245">
            <v>5.2217525407767555E-3</v>
          </cell>
          <cell r="E245">
            <v>158826.1638138686</v>
          </cell>
          <cell r="F245">
            <v>1618.2145377615816</v>
          </cell>
          <cell r="G245">
            <v>5288</v>
          </cell>
          <cell r="H245">
            <v>4.6074677921620769E-3</v>
          </cell>
          <cell r="I245">
            <v>35035.480358870162</v>
          </cell>
          <cell r="J245">
            <v>133.39793231402291</v>
          </cell>
          <cell r="K245">
            <v>195613.25664281438</v>
          </cell>
          <cell r="M245">
            <v>208786.92548901294</v>
          </cell>
          <cell r="N245">
            <v>35275.529779801531</v>
          </cell>
          <cell r="O245">
            <v>-48342.54713738276</v>
          </cell>
          <cell r="P245">
            <v>-106.65148861734633</v>
          </cell>
          <cell r="Q245">
            <v>-0.19851147761599527</v>
          </cell>
        </row>
        <row r="246">
          <cell r="A246" t="str">
            <v>7205</v>
          </cell>
          <cell r="B246" t="str">
            <v>South Bend Community School Corp</v>
          </cell>
          <cell r="C246">
            <v>5088</v>
          </cell>
          <cell r="D246">
            <v>2.6918213705645525E-2</v>
          </cell>
          <cell r="E246">
            <v>818751.28823197912</v>
          </cell>
          <cell r="F246">
            <v>20539.869208354387</v>
          </cell>
          <cell r="G246">
            <v>25012</v>
          </cell>
          <cell r="H246">
            <v>2.1793113543411093E-2</v>
          </cell>
          <cell r="I246">
            <v>165716.23198488282</v>
          </cell>
          <cell r="J246">
            <v>1504.8371632244671</v>
          </cell>
          <cell r="K246">
            <v>1006512.2265884408</v>
          </cell>
          <cell r="M246">
            <v>1019048.5719143472</v>
          </cell>
          <cell r="N246">
            <v>167320.40337528251</v>
          </cell>
          <cell r="O246">
            <v>-179757.41447401373</v>
          </cell>
          <cell r="P246">
            <v>-99.334227175218984</v>
          </cell>
          <cell r="Q246">
            <v>-0.15160270746061974</v>
          </cell>
        </row>
        <row r="247">
          <cell r="A247" t="str">
            <v>7215</v>
          </cell>
          <cell r="B247" t="str">
            <v>Union-North United School Corp</v>
          </cell>
          <cell r="C247">
            <v>191</v>
          </cell>
          <cell r="D247">
            <v>1.0104911198463629E-3</v>
          </cell>
          <cell r="E247">
            <v>30735.356928519654</v>
          </cell>
          <cell r="F247">
            <v>-23.897083990403189</v>
          </cell>
          <cell r="G247">
            <v>1447</v>
          </cell>
          <cell r="H247">
            <v>1.2607802373786924E-3</v>
          </cell>
          <cell r="I247">
            <v>9587.0537214986998</v>
          </cell>
          <cell r="J247">
            <v>29.86876306299564</v>
          </cell>
          <cell r="K247">
            <v>40328.382329090942</v>
          </cell>
          <cell r="M247">
            <v>29049.62600195975</v>
          </cell>
          <cell r="N247">
            <v>9587.6290716682015</v>
          </cell>
          <cell r="O247">
            <v>1661.8338425695001</v>
          </cell>
          <cell r="P247">
            <v>29.293412893493951</v>
          </cell>
          <cell r="Q247">
            <v>4.3769342626445565E-2</v>
          </cell>
        </row>
        <row r="248">
          <cell r="A248" t="str">
            <v>7230</v>
          </cell>
          <cell r="B248" t="str">
            <v>Scott County School District 1</v>
          </cell>
          <cell r="C248">
            <v>317</v>
          </cell>
          <cell r="D248">
            <v>1.677097827179566E-3</v>
          </cell>
          <cell r="E248">
            <v>51011.037415396502</v>
          </cell>
          <cell r="F248">
            <v>-165.87322615382436</v>
          </cell>
          <cell r="G248">
            <v>1166</v>
          </cell>
          <cell r="H248">
            <v>1.0159431629464791E-3</v>
          </cell>
          <cell r="I248">
            <v>7725.2969172546527</v>
          </cell>
          <cell r="J248">
            <v>61.893134178285436</v>
          </cell>
          <cell r="K248">
            <v>58632.354240675617</v>
          </cell>
          <cell r="M248">
            <v>51626.304511659015</v>
          </cell>
          <cell r="N248">
            <v>7780.8594180137688</v>
          </cell>
          <cell r="O248">
            <v>-781.14032241633686</v>
          </cell>
          <cell r="P248">
            <v>6.3306334191693168</v>
          </cell>
          <cell r="Q248">
            <v>-1.3042361185839482E-2</v>
          </cell>
        </row>
        <row r="249">
          <cell r="A249" t="str">
            <v>7255</v>
          </cell>
          <cell r="B249" t="str">
            <v>Scott County School District 2</v>
          </cell>
          <cell r="C249">
            <v>539</v>
          </cell>
          <cell r="D249">
            <v>2.8515953591475899E-3</v>
          </cell>
          <cell r="E249">
            <v>86734.855416084261</v>
          </cell>
          <cell r="F249">
            <v>1262.6144660321879</v>
          </cell>
          <cell r="G249">
            <v>2791</v>
          </cell>
          <cell r="H249">
            <v>2.4318159243427299E-3</v>
          </cell>
          <cell r="I249">
            <v>18491.684130409722</v>
          </cell>
          <cell r="J249">
            <v>110.17614596852218</v>
          </cell>
          <cell r="K249">
            <v>106599.33015849469</v>
          </cell>
          <cell r="M249">
            <v>91184.002808369813</v>
          </cell>
          <cell r="N249">
            <v>18617.174999586074</v>
          </cell>
          <cell r="O249">
            <v>-3186.5329262533633</v>
          </cell>
          <cell r="P249">
            <v>-15.314723207829957</v>
          </cell>
          <cell r="Q249">
            <v>-2.9160412605603182E-2</v>
          </cell>
        </row>
        <row r="250">
          <cell r="A250" t="str">
            <v>7285</v>
          </cell>
          <cell r="B250" t="str">
            <v>Shelby Eastern Schools</v>
          </cell>
          <cell r="C250">
            <v>124</v>
          </cell>
          <cell r="D250">
            <v>6.5602564848664402E-4</v>
          </cell>
          <cell r="E250">
            <v>19953.844288672444</v>
          </cell>
          <cell r="F250">
            <v>205.59665116482211</v>
          </cell>
          <cell r="G250">
            <v>1376</v>
          </cell>
          <cell r="H250">
            <v>1.19891748903461E-3</v>
          </cell>
          <cell r="I250">
            <v>9116.645418647</v>
          </cell>
          <cell r="J250">
            <v>42.106702926104845</v>
          </cell>
          <cell r="K250">
            <v>29318.193061410369</v>
          </cell>
          <cell r="M250">
            <v>17840.356555757535</v>
          </cell>
          <cell r="N250">
            <v>9163.31878982339</v>
          </cell>
          <cell r="O250">
            <v>2319.0843840797315</v>
          </cell>
          <cell r="P250">
            <v>-4.5666682502851472</v>
          </cell>
          <cell r="Q250">
            <v>8.5711211018844172E-2</v>
          </cell>
        </row>
        <row r="251">
          <cell r="A251" t="str">
            <v>7350</v>
          </cell>
          <cell r="B251" t="str">
            <v>Northwestern Con School Corp</v>
          </cell>
          <cell r="C251">
            <v>206</v>
          </cell>
          <cell r="D251">
            <v>1.0898490611955538E-3</v>
          </cell>
          <cell r="E251">
            <v>33149.128415052612</v>
          </cell>
          <cell r="F251">
            <v>282.57947064600012</v>
          </cell>
          <cell r="G251">
            <v>1411</v>
          </cell>
          <cell r="H251">
            <v>1.2294132100492984E-3</v>
          </cell>
          <cell r="I251">
            <v>9348.5368355457249</v>
          </cell>
          <cell r="J251">
            <v>11.711607467907015</v>
          </cell>
          <cell r="K251">
            <v>42791.956328712244</v>
          </cell>
          <cell r="M251">
            <v>31262.563086822389</v>
          </cell>
          <cell r="N251">
            <v>9384.2696401970261</v>
          </cell>
          <cell r="O251">
            <v>2169.1447988762229</v>
          </cell>
          <cell r="P251">
            <v>-24.021197183394179</v>
          </cell>
          <cell r="Q251">
            <v>5.2774680283191849E-2</v>
          </cell>
        </row>
        <row r="252">
          <cell r="A252" t="str">
            <v>7360</v>
          </cell>
          <cell r="B252" t="str">
            <v>Southwestern Con Sch Shelby Co</v>
          </cell>
          <cell r="C252">
            <v>92</v>
          </cell>
          <cell r="D252">
            <v>4.8672870694170366E-4</v>
          </cell>
          <cell r="E252">
            <v>14804.465117402138</v>
          </cell>
          <cell r="F252">
            <v>228.8478520677545</v>
          </cell>
          <cell r="G252">
            <v>785</v>
          </cell>
          <cell r="H252">
            <v>6.8397545704372738E-4</v>
          </cell>
          <cell r="I252">
            <v>5200.9932075856796</v>
          </cell>
          <cell r="J252">
            <v>7.8300702825663393</v>
          </cell>
          <cell r="K252">
            <v>20242.136247338138</v>
          </cell>
          <cell r="M252">
            <v>14209.558407060178</v>
          </cell>
          <cell r="N252">
            <v>5226.5656297908754</v>
          </cell>
          <cell r="O252">
            <v>823.75456240971471</v>
          </cell>
          <cell r="P252">
            <v>-17.742351922629496</v>
          </cell>
          <cell r="Q252">
            <v>4.1469801744364217E-2</v>
          </cell>
        </row>
        <row r="253">
          <cell r="A253" t="str">
            <v>7365</v>
          </cell>
          <cell r="B253" t="str">
            <v>Shelbyville Central Schools</v>
          </cell>
          <cell r="C253">
            <v>658</v>
          </cell>
          <cell r="D253">
            <v>3.4811683605178371E-3</v>
          </cell>
          <cell r="E253">
            <v>105884.10920924573</v>
          </cell>
          <cell r="F253">
            <v>479.67097107060545</v>
          </cell>
          <cell r="G253">
            <v>3873</v>
          </cell>
          <cell r="H253">
            <v>3.374569356853957E-3</v>
          </cell>
          <cell r="I253">
            <v>25660.441647107436</v>
          </cell>
          <cell r="J253">
            <v>71.29141446479116</v>
          </cell>
          <cell r="K253">
            <v>132095.51324188858</v>
          </cell>
          <cell r="M253">
            <v>86270.394831251382</v>
          </cell>
          <cell r="N253">
            <v>25741.649724289568</v>
          </cell>
          <cell r="O253">
            <v>20093.385349064949</v>
          </cell>
          <cell r="P253">
            <v>-9.916662717339932</v>
          </cell>
          <cell r="Q253">
            <v>0.17929740293588928</v>
          </cell>
        </row>
        <row r="254">
          <cell r="A254" t="str">
            <v>7385</v>
          </cell>
          <cell r="B254" t="str">
            <v>North Spencer County Sch Corp</v>
          </cell>
          <cell r="C254">
            <v>191</v>
          </cell>
          <cell r="D254">
            <v>1.0104911198463629E-3</v>
          </cell>
          <cell r="E254">
            <v>30735.356928519654</v>
          </cell>
          <cell r="F254">
            <v>-318.82103759618985</v>
          </cell>
          <cell r="G254">
            <v>1903</v>
          </cell>
          <cell r="H254">
            <v>1.658095916884348E-3</v>
          </cell>
          <cell r="I254">
            <v>12608.267610236368</v>
          </cell>
          <cell r="J254">
            <v>24.359260689065195</v>
          </cell>
          <cell r="K254">
            <v>43049.1627618489</v>
          </cell>
          <cell r="M254">
            <v>29549.060602614896</v>
          </cell>
          <cell r="N254">
            <v>12743.786993178899</v>
          </cell>
          <cell r="O254">
            <v>867.47528830856754</v>
          </cell>
          <cell r="P254">
            <v>-111.1601222534664</v>
          </cell>
          <cell r="Q254">
            <v>1.788281492141286E-2</v>
          </cell>
        </row>
        <row r="255">
          <cell r="A255" t="str">
            <v>7445</v>
          </cell>
          <cell r="B255" t="str">
            <v>South Spencer County Sch Corp</v>
          </cell>
          <cell r="C255">
            <v>227</v>
          </cell>
          <cell r="D255">
            <v>1.200950179084421E-3</v>
          </cell>
          <cell r="E255">
            <v>36528.408496198754</v>
          </cell>
          <cell r="F255">
            <v>-879.45821606948448</v>
          </cell>
          <cell r="G255">
            <v>1472</v>
          </cell>
          <cell r="H255">
            <v>1.2825628952463271E-3</v>
          </cell>
          <cell r="I255">
            <v>9752.6904478549313</v>
          </cell>
          <cell r="J255">
            <v>86.508789729254204</v>
          </cell>
          <cell r="K255">
            <v>45488.149517713457</v>
          </cell>
          <cell r="M255">
            <v>32801.344484594076</v>
          </cell>
          <cell r="N255">
            <v>9928.686879144163</v>
          </cell>
          <cell r="O255">
            <v>2847.6057955351935</v>
          </cell>
          <cell r="P255">
            <v>-89.487641559977419</v>
          </cell>
          <cell r="Q255">
            <v>6.4547534039860868E-2</v>
          </cell>
        </row>
        <row r="256">
          <cell r="A256" t="str">
            <v>7495</v>
          </cell>
          <cell r="B256" t="str">
            <v>Oregon-Davis School Corp</v>
          </cell>
          <cell r="C256">
            <v>107</v>
          </cell>
          <cell r="D256">
            <v>5.6608664829089442E-4</v>
          </cell>
          <cell r="E256">
            <v>17218.236603935093</v>
          </cell>
          <cell r="F256">
            <v>-37.273662196006626</v>
          </cell>
          <cell r="G256">
            <v>701</v>
          </cell>
          <cell r="H256">
            <v>6.1078572660847508E-4</v>
          </cell>
          <cell r="I256">
            <v>4644.4538070287408</v>
          </cell>
          <cell r="J256">
            <v>36.394715438024832</v>
          </cell>
          <cell r="K256">
            <v>21861.811464205854</v>
          </cell>
          <cell r="M256">
            <v>21410.407302849188</v>
          </cell>
          <cell r="N256">
            <v>4653.2228783490509</v>
          </cell>
          <cell r="O256">
            <v>-4229.4443611101015</v>
          </cell>
          <cell r="P256">
            <v>27.625644117714728</v>
          </cell>
          <cell r="Q256">
            <v>-0.16121387112158658</v>
          </cell>
        </row>
        <row r="257">
          <cell r="A257" t="str">
            <v>7515</v>
          </cell>
          <cell r="B257" t="str">
            <v>North Judson-San Pierre Sch Corp</v>
          </cell>
          <cell r="C257">
            <v>237</v>
          </cell>
          <cell r="D257">
            <v>1.2538554733172147E-3</v>
          </cell>
          <cell r="E257">
            <v>38137.589487220721</v>
          </cell>
          <cell r="F257">
            <v>505.23574609757634</v>
          </cell>
          <cell r="G257">
            <v>1268</v>
          </cell>
          <cell r="H257">
            <v>1.1048164070464285E-3</v>
          </cell>
          <cell r="I257">
            <v>8401.0947607880789</v>
          </cell>
          <cell r="J257">
            <v>91.005173433314667</v>
          </cell>
          <cell r="K257">
            <v>47134.925167539695</v>
          </cell>
          <cell r="M257">
            <v>44036.084519596712</v>
          </cell>
          <cell r="N257">
            <v>8411.878853866081</v>
          </cell>
          <cell r="O257">
            <v>-5393.2592862784149</v>
          </cell>
          <cell r="P257">
            <v>80.221080355313461</v>
          </cell>
          <cell r="Q257">
            <v>-0.1013011347664903</v>
          </cell>
        </row>
        <row r="258">
          <cell r="A258" t="str">
            <v>7525</v>
          </cell>
          <cell r="B258" t="str">
            <v>Knox Community School Corp</v>
          </cell>
          <cell r="C258">
            <v>416</v>
          </cell>
          <cell r="D258">
            <v>2.2008602400842253E-3</v>
          </cell>
          <cell r="E258">
            <v>66941.929226514025</v>
          </cell>
          <cell r="F258">
            <v>1153.1059775758185</v>
          </cell>
          <cell r="G258">
            <v>1870</v>
          </cell>
          <cell r="H258">
            <v>1.6293428084990704E-3</v>
          </cell>
          <cell r="I258">
            <v>12389.627131446143</v>
          </cell>
          <cell r="J258">
            <v>108.03334573459688</v>
          </cell>
          <cell r="K258">
            <v>80592.69568127059</v>
          </cell>
          <cell r="M258">
            <v>74710.708102138233</v>
          </cell>
          <cell r="N258">
            <v>12423.984691494383</v>
          </cell>
          <cell r="O258">
            <v>-6615.6728980483895</v>
          </cell>
          <cell r="P258">
            <v>73.675785686356903</v>
          </cell>
          <cell r="Q258">
            <v>-7.507913211854568E-2</v>
          </cell>
        </row>
        <row r="259">
          <cell r="A259" t="str">
            <v>7605</v>
          </cell>
          <cell r="B259" t="str">
            <v>Fremont Community Schools</v>
          </cell>
          <cell r="C259">
            <v>121</v>
          </cell>
          <cell r="D259">
            <v>6.4015406021680592E-4</v>
          </cell>
          <cell r="E259">
            <v>19471.089991365858</v>
          </cell>
          <cell r="F259">
            <v>417.96647025110724</v>
          </cell>
          <cell r="G259">
            <v>1004</v>
          </cell>
          <cell r="H259">
            <v>8.7479153996420679E-4</v>
          </cell>
          <cell r="I259">
            <v>6651.9709304662711</v>
          </cell>
          <cell r="J259">
            <v>37.210925558132658</v>
          </cell>
          <cell r="K259">
            <v>26578.238317641371</v>
          </cell>
          <cell r="M259">
            <v>28220.515869383769</v>
          </cell>
          <cell r="N259">
            <v>6711.1072240928397</v>
          </cell>
          <cell r="O259">
            <v>-8331.4594077668044</v>
          </cell>
          <cell r="P259">
            <v>-21.925368068436001</v>
          </cell>
          <cell r="Q259">
            <v>-0.23913531740227709</v>
          </cell>
        </row>
        <row r="260">
          <cell r="A260" t="str">
            <v>7610</v>
          </cell>
          <cell r="B260" t="str">
            <v>Hamilton Community Schools</v>
          </cell>
          <cell r="C260">
            <v>104</v>
          </cell>
          <cell r="D260">
            <v>5.5021506002105632E-4</v>
          </cell>
          <cell r="E260">
            <v>16735.482306628506</v>
          </cell>
          <cell r="F260">
            <v>328.04108474417262</v>
          </cell>
          <cell r="G260">
            <v>644</v>
          </cell>
          <cell r="H260">
            <v>5.6112126667026804E-4</v>
          </cell>
          <cell r="I260">
            <v>4266.8020709365319</v>
          </cell>
          <cell r="J260">
            <v>48.010951693978768</v>
          </cell>
          <cell r="K260">
            <v>21378.336414003184</v>
          </cell>
          <cell r="M260">
            <v>11766.80426610161</v>
          </cell>
          <cell r="N260">
            <v>4334.1207648262789</v>
          </cell>
          <cell r="O260">
            <v>5296.7191252710672</v>
          </cell>
          <cell r="P260">
            <v>-19.307742195767787</v>
          </cell>
          <cell r="Q260">
            <v>0.32777069472331832</v>
          </cell>
        </row>
        <row r="261">
          <cell r="A261" t="str">
            <v>7615</v>
          </cell>
          <cell r="B261" t="str">
            <v>MSD Steuben County</v>
          </cell>
          <cell r="C261">
            <v>426</v>
          </cell>
          <cell r="D261">
            <v>2.253765534317019E-3</v>
          </cell>
          <cell r="E261">
            <v>68551.110217535985</v>
          </cell>
          <cell r="F261">
            <v>-143.30804068858561</v>
          </cell>
          <cell r="G261">
            <v>2709</v>
          </cell>
          <cell r="H261">
            <v>2.3603688065368883E-3</v>
          </cell>
          <cell r="I261">
            <v>17948.395667961282</v>
          </cell>
          <cell r="J261">
            <v>80.126872250912129</v>
          </cell>
          <cell r="K261">
            <v>86436.324717059601</v>
          </cell>
          <cell r="M261">
            <v>65947.32367382104</v>
          </cell>
          <cell r="N261">
            <v>18064.590733218076</v>
          </cell>
          <cell r="O261">
            <v>2460.4785030263592</v>
          </cell>
          <cell r="P261">
            <v>-36.068193005881767</v>
          </cell>
          <cell r="Q261">
            <v>2.8857934343385742E-2</v>
          </cell>
        </row>
        <row r="262">
          <cell r="A262" t="str">
            <v>7645</v>
          </cell>
          <cell r="B262" t="str">
            <v>Northeast School Corp</v>
          </cell>
          <cell r="C262">
            <v>205</v>
          </cell>
          <cell r="D262">
            <v>1.0845585317722744E-3</v>
          </cell>
          <cell r="E262">
            <v>32988.210315950419</v>
          </cell>
          <cell r="F262">
            <v>-766.23993282812444</v>
          </cell>
          <cell r="G262">
            <v>1053</v>
          </cell>
          <cell r="H262">
            <v>9.1748554938477064E-4</v>
          </cell>
          <cell r="I262">
            <v>6976.6189141244859</v>
          </cell>
          <cell r="J262">
            <v>43.124666554518626</v>
          </cell>
          <cell r="K262">
            <v>39241.713963801296</v>
          </cell>
          <cell r="M262">
            <v>29101.641707382962</v>
          </cell>
          <cell r="N262">
            <v>7431.3726006112756</v>
          </cell>
          <cell r="O262">
            <v>3120.3286757393325</v>
          </cell>
          <cell r="P262">
            <v>-411.62901993227115</v>
          </cell>
          <cell r="Q262">
            <v>7.4143886211281984E-2</v>
          </cell>
        </row>
        <row r="263">
          <cell r="A263" t="str">
            <v>7715</v>
          </cell>
          <cell r="B263" t="str">
            <v>Southwest School Corporation</v>
          </cell>
          <cell r="C263">
            <v>227</v>
          </cell>
          <cell r="D263">
            <v>1.200950179084421E-3</v>
          </cell>
          <cell r="E263">
            <v>36528.408496198754</v>
          </cell>
          <cell r="F263">
            <v>-714.25637239052594</v>
          </cell>
          <cell r="G263">
            <v>1459</v>
          </cell>
          <cell r="H263">
            <v>1.2712359131551571E-3</v>
          </cell>
          <cell r="I263">
            <v>9666.5593501496915</v>
          </cell>
          <cell r="J263">
            <v>29.856498692612149</v>
          </cell>
          <cell r="K263">
            <v>45510.567972650533</v>
          </cell>
          <cell r="M263">
            <v>41227.875292586745</v>
          </cell>
          <cell r="N263">
            <v>9872.0345881075209</v>
          </cell>
          <cell r="O263">
            <v>-5413.723168778517</v>
          </cell>
          <cell r="P263">
            <v>-175.6187392652173</v>
          </cell>
          <cell r="Q263">
            <v>-0.10938066077011632</v>
          </cell>
        </row>
        <row r="264">
          <cell r="A264" t="str">
            <v>7775</v>
          </cell>
          <cell r="B264" t="str">
            <v>Switzerland County School Corp</v>
          </cell>
          <cell r="C264">
            <v>543</v>
          </cell>
          <cell r="D264">
            <v>2.8727574768407076E-3</v>
          </cell>
          <cell r="E264">
            <v>87378.527812493063</v>
          </cell>
          <cell r="F264">
            <v>970.78437158105953</v>
          </cell>
          <cell r="G264">
            <v>1963</v>
          </cell>
          <cell r="H264">
            <v>1.7103742957666711E-3</v>
          </cell>
          <cell r="I264">
            <v>13005.795753491324</v>
          </cell>
          <cell r="J264">
            <v>71.347733798695117</v>
          </cell>
          <cell r="K264">
            <v>101426.45567136415</v>
          </cell>
          <cell r="M264">
            <v>80406.639797674376</v>
          </cell>
          <cell r="N264">
            <v>13432.369064859258</v>
          </cell>
          <cell r="O264">
            <v>7942.6723863997468</v>
          </cell>
          <cell r="P264">
            <v>-355.22557756923925</v>
          </cell>
          <cell r="Q264">
            <v>8.0855999022170916E-2</v>
          </cell>
        </row>
        <row r="265">
          <cell r="A265" t="str">
            <v>7855</v>
          </cell>
          <cell r="B265" t="str">
            <v>Lafayette School Corporation</v>
          </cell>
          <cell r="C265">
            <v>2070</v>
          </cell>
          <cell r="D265">
            <v>1.0951395906188332E-2</v>
          </cell>
          <cell r="E265">
            <v>333100.46514154808</v>
          </cell>
          <cell r="F265">
            <v>2567.2032134038745</v>
          </cell>
          <cell r="G265">
            <v>9752</v>
          </cell>
          <cell r="H265">
            <v>8.496979181006916E-3</v>
          </cell>
          <cell r="I265">
            <v>64611.574217038913</v>
          </cell>
          <cell r="J265">
            <v>38.263521469954867</v>
          </cell>
          <cell r="K265">
            <v>400317.50609346083</v>
          </cell>
          <cell r="M265">
            <v>360822.91118508473</v>
          </cell>
          <cell r="N265">
            <v>64210.852112534099</v>
          </cell>
          <cell r="O265">
            <v>-25155.242830132775</v>
          </cell>
          <cell r="P265">
            <v>438.98562597476848</v>
          </cell>
          <cell r="Q265">
            <v>-5.8151279588701969E-2</v>
          </cell>
        </row>
        <row r="266">
          <cell r="A266" t="str">
            <v>7865</v>
          </cell>
          <cell r="B266" t="str">
            <v>Tippecanoe School Corp</v>
          </cell>
          <cell r="C266">
            <v>1521</v>
          </cell>
          <cell r="D266">
            <v>8.0468952528079483E-3</v>
          </cell>
          <cell r="E266">
            <v>244756.42873444187</v>
          </cell>
          <cell r="F266">
            <v>2447.9154580487229</v>
          </cell>
          <cell r="G266">
            <v>15642</v>
          </cell>
          <cell r="H266">
            <v>1.3628973374621635E-2</v>
          </cell>
          <cell r="I266">
            <v>103635.58694656714</v>
          </cell>
          <cell r="J266">
            <v>211.52681131745339</v>
          </cell>
          <cell r="K266">
            <v>351051.45795037516</v>
          </cell>
          <cell r="M266">
            <v>268240.2877137569</v>
          </cell>
          <cell r="N266">
            <v>102906.1887846077</v>
          </cell>
          <cell r="O266">
            <v>-21035.943521266308</v>
          </cell>
          <cell r="P266">
            <v>940.92497327689489</v>
          </cell>
          <cell r="Q266">
            <v>-5.4143093954653131E-2</v>
          </cell>
        </row>
        <row r="267">
          <cell r="A267" t="str">
            <v>7875</v>
          </cell>
          <cell r="B267" t="str">
            <v>West Lafayette Com School Corp</v>
          </cell>
          <cell r="C267">
            <v>217</v>
          </cell>
          <cell r="D267">
            <v>1.1480448848516271E-3</v>
          </cell>
          <cell r="E267">
            <v>34919.227505176779</v>
          </cell>
          <cell r="F267">
            <v>323.94378791756753</v>
          </cell>
          <cell r="G267">
            <v>2424</v>
          </cell>
          <cell r="H267">
            <v>2.1120465068458537E-3</v>
          </cell>
          <cell r="I267">
            <v>16060.13698750024</v>
          </cell>
          <cell r="J267">
            <v>6.3387205788276333</v>
          </cell>
          <cell r="K267">
            <v>51309.64700117342</v>
          </cell>
          <cell r="M267">
            <v>36387.822151363936</v>
          </cell>
          <cell r="N267">
            <v>15933.734445922311</v>
          </cell>
          <cell r="O267">
            <v>-1144.6508582695897</v>
          </cell>
          <cell r="P267">
            <v>132.74126215675642</v>
          </cell>
          <cell r="Q267">
            <v>-1.9340204342569535E-2</v>
          </cell>
        </row>
        <row r="268">
          <cell r="A268" t="str">
            <v>7935</v>
          </cell>
          <cell r="B268" t="str">
            <v>Tri-Central Community Schools</v>
          </cell>
          <cell r="C268">
            <v>69</v>
          </cell>
          <cell r="D268">
            <v>3.6504653020627776E-4</v>
          </cell>
          <cell r="E268">
            <v>11103.348838051605</v>
          </cell>
          <cell r="F268">
            <v>342.0688467031996</v>
          </cell>
          <cell r="G268">
            <v>743</v>
          </cell>
          <cell r="H268">
            <v>6.4738059182610117E-4</v>
          </cell>
          <cell r="I268">
            <v>4922.7235073072097</v>
          </cell>
          <cell r="J268">
            <v>19.126339378367447</v>
          </cell>
          <cell r="K268">
            <v>16387.267531440382</v>
          </cell>
          <cell r="M268">
            <v>10509.858341243144</v>
          </cell>
          <cell r="N268">
            <v>5118.803292966335</v>
          </cell>
          <cell r="O268">
            <v>935.5593435116607</v>
          </cell>
          <cell r="P268">
            <v>-176.95344628075782</v>
          </cell>
          <cell r="Q268">
            <v>4.8539402476434401E-2</v>
          </cell>
        </row>
        <row r="269">
          <cell r="A269" t="str">
            <v>7945</v>
          </cell>
          <cell r="B269" t="str">
            <v>Tipton Community School Corp</v>
          </cell>
          <cell r="C269">
            <v>172</v>
          </cell>
          <cell r="D269">
            <v>9.099710608040547E-4</v>
          </cell>
          <cell r="E269">
            <v>27677.913045577912</v>
          </cell>
          <cell r="F269">
            <v>130.02035935988533</v>
          </cell>
          <cell r="G269">
            <v>1543</v>
          </cell>
          <cell r="H269">
            <v>1.3444256435904093E-3</v>
          </cell>
          <cell r="I269">
            <v>10223.098750706629</v>
          </cell>
          <cell r="J269">
            <v>79.281530524676782</v>
          </cell>
          <cell r="K269">
            <v>38110.313686169102</v>
          </cell>
          <cell r="M269">
            <v>30315.645421275342</v>
          </cell>
          <cell r="N269">
            <v>10728.41239339968</v>
          </cell>
          <cell r="O269">
            <v>-2507.7120163375439</v>
          </cell>
          <cell r="P269">
            <v>-426.03211216837371</v>
          </cell>
          <cell r="Q269">
            <v>-7.147792603140174E-2</v>
          </cell>
        </row>
        <row r="270">
          <cell r="A270" t="str">
            <v>7950</v>
          </cell>
          <cell r="B270" t="str">
            <v>Union Co/Clg Corner Joint Sch Dist</v>
          </cell>
          <cell r="C270">
            <v>172</v>
          </cell>
          <cell r="D270">
            <v>9.099710608040547E-4</v>
          </cell>
          <cell r="E270">
            <v>27677.913045577912</v>
          </cell>
          <cell r="F270">
            <v>-626.32675268814273</v>
          </cell>
          <cell r="G270">
            <v>1113</v>
          </cell>
          <cell r="H270">
            <v>9.6976392826709373E-4</v>
          </cell>
          <cell r="I270">
            <v>7374.1470573794413</v>
          </cell>
          <cell r="J270">
            <v>48.426145257868484</v>
          </cell>
          <cell r="K270">
            <v>34474.159495527085</v>
          </cell>
          <cell r="M270">
            <v>31624.630550305741</v>
          </cell>
          <cell r="N270">
            <v>8078.2676778853556</v>
          </cell>
          <cell r="O270">
            <v>-4573.0442574159715</v>
          </cell>
          <cell r="P270">
            <v>-655.69447524804582</v>
          </cell>
          <cell r="Q270">
            <v>-0.13169665102562575</v>
          </cell>
        </row>
        <row r="271">
          <cell r="A271" t="str">
            <v>7995</v>
          </cell>
          <cell r="B271" t="str">
            <v>Evansville Vanderburgh School Corp</v>
          </cell>
          <cell r="C271">
            <v>5433</v>
          </cell>
          <cell r="D271">
            <v>2.8743446356676913E-2</v>
          </cell>
          <cell r="E271">
            <v>874268.0324222371</v>
          </cell>
          <cell r="F271">
            <v>607.99113438918721</v>
          </cell>
          <cell r="G271">
            <v>27540</v>
          </cell>
          <cell r="H271">
            <v>2.3995775906986309E-2</v>
          </cell>
          <cell r="I271">
            <v>182465.41775402499</v>
          </cell>
          <cell r="J271">
            <v>391.55567701492691</v>
          </cell>
          <cell r="K271">
            <v>1057732.9969876662</v>
          </cell>
          <cell r="M271">
            <v>885523.42058106861</v>
          </cell>
          <cell r="N271">
            <v>184813.33624762416</v>
          </cell>
          <cell r="O271">
            <v>-10647.397024442325</v>
          </cell>
          <cell r="P271">
            <v>-1956.3628165842383</v>
          </cell>
          <cell r="Q271">
            <v>-1.1775508745836516E-2</v>
          </cell>
        </row>
        <row r="272">
          <cell r="A272" t="str">
            <v>8010</v>
          </cell>
          <cell r="B272" t="str">
            <v>North Vermillion Com Sch Corp</v>
          </cell>
          <cell r="C272">
            <v>151</v>
          </cell>
          <cell r="D272">
            <v>7.9886994291518756E-4</v>
          </cell>
          <cell r="E272">
            <v>24298.63296443177</v>
          </cell>
          <cell r="F272">
            <v>88.26541221379739</v>
          </cell>
          <cell r="G272">
            <v>658</v>
          </cell>
          <cell r="H272">
            <v>5.7331955507614345E-4</v>
          </cell>
          <cell r="I272">
            <v>4359.5586376960218</v>
          </cell>
          <cell r="J272">
            <v>24.800914007697429</v>
          </cell>
          <cell r="K272">
            <v>28771.257928349289</v>
          </cell>
          <cell r="M272">
            <v>20582.716112145874</v>
          </cell>
          <cell r="N272">
            <v>4582.0997739585528</v>
          </cell>
          <cell r="O272">
            <v>3804.1822644996937</v>
          </cell>
          <cell r="P272">
            <v>-197.7402222548335</v>
          </cell>
          <cell r="Q272">
            <v>0.14331287216912542</v>
          </cell>
        </row>
        <row r="273">
          <cell r="A273" t="str">
            <v>8020</v>
          </cell>
          <cell r="B273" t="str">
            <v>South Vermillion Com Sch Corp</v>
          </cell>
          <cell r="C273">
            <v>349</v>
          </cell>
          <cell r="D273">
            <v>1.8463947687245063E-3</v>
          </cell>
          <cell r="E273">
            <v>56160.416586666805</v>
          </cell>
          <cell r="F273">
            <v>226.11382273426716</v>
          </cell>
          <cell r="G273">
            <v>1838</v>
          </cell>
          <cell r="H273">
            <v>1.6014610064284979E-3</v>
          </cell>
          <cell r="I273">
            <v>12177.612121710165</v>
          </cell>
          <cell r="J273">
            <v>37.507646966279935</v>
          </cell>
          <cell r="K273">
            <v>68601.650178077514</v>
          </cell>
          <cell r="M273">
            <v>48205.370500094628</v>
          </cell>
          <cell r="N273">
            <v>12657.719874522496</v>
          </cell>
          <cell r="O273">
            <v>8181.1599093064433</v>
          </cell>
          <cell r="P273">
            <v>-442.60010584605152</v>
          </cell>
          <cell r="Q273">
            <v>0.12714700741991486</v>
          </cell>
        </row>
        <row r="274">
          <cell r="A274" t="str">
            <v>8030</v>
          </cell>
          <cell r="B274" t="str">
            <v>Vigo County School Corp</v>
          </cell>
          <cell r="C274">
            <v>2902</v>
          </cell>
          <cell r="D274">
            <v>1.5353116386356783E-2</v>
          </cell>
          <cell r="E274">
            <v>466984.32359457616</v>
          </cell>
          <cell r="F274">
            <v>7107.8562965210294</v>
          </cell>
          <cell r="G274">
            <v>15070</v>
          </cell>
          <cell r="H274">
            <v>1.3130586162610154E-2</v>
          </cell>
          <cell r="I274">
            <v>99845.818647536551</v>
          </cell>
          <cell r="J274">
            <v>721.7006732763839</v>
          </cell>
          <cell r="K274">
            <v>574659.69921191013</v>
          </cell>
          <cell r="M274">
            <v>570466.94297837489</v>
          </cell>
          <cell r="N274">
            <v>100823.5307843014</v>
          </cell>
          <cell r="O274">
            <v>-96374.763087277708</v>
          </cell>
          <cell r="P274">
            <v>-256.01146348846669</v>
          </cell>
          <cell r="Q274">
            <v>-0.14394778166467528</v>
          </cell>
        </row>
        <row r="275">
          <cell r="A275" t="str">
            <v>8045</v>
          </cell>
          <cell r="B275" t="str">
            <v>Manchester Community Schools</v>
          </cell>
          <cell r="C275">
            <v>230</v>
          </cell>
          <cell r="D275">
            <v>1.2168217673542592E-3</v>
          </cell>
          <cell r="E275">
            <v>37011.162793505348</v>
          </cell>
          <cell r="F275">
            <v>-145.03108680106379</v>
          </cell>
          <cell r="G275">
            <v>1351</v>
          </cell>
          <cell r="H275">
            <v>1.1771348311669753E-3</v>
          </cell>
          <cell r="I275">
            <v>8951.0086922907685</v>
          </cell>
          <cell r="J275">
            <v>29.278692591391518</v>
          </cell>
          <cell r="K275">
            <v>45846.419091586438</v>
          </cell>
          <cell r="M275">
            <v>35442.232144088739</v>
          </cell>
          <cell r="N275">
            <v>9057.8896415506333</v>
          </cell>
          <cell r="O275">
            <v>1423.8995626155447</v>
          </cell>
          <cell r="P275">
            <v>-77.602256668473274</v>
          </cell>
          <cell r="Q275">
            <v>3.0253789246516959E-2</v>
          </cell>
        </row>
        <row r="276">
          <cell r="A276" t="str">
            <v>8050</v>
          </cell>
          <cell r="B276" t="str">
            <v>MSD Wabash County Schools</v>
          </cell>
          <cell r="C276">
            <v>237</v>
          </cell>
          <cell r="D276">
            <v>1.2538554733172147E-3</v>
          </cell>
          <cell r="E276">
            <v>38137.589487220721</v>
          </cell>
          <cell r="F276">
            <v>-157.69057491762214</v>
          </cell>
          <cell r="G276">
            <v>2046</v>
          </cell>
          <cell r="H276">
            <v>1.7826927198872182E-3</v>
          </cell>
          <cell r="I276">
            <v>13555.709684994015</v>
          </cell>
          <cell r="J276">
            <v>109.19433903589015</v>
          </cell>
          <cell r="K276">
            <v>51644.802936332999</v>
          </cell>
          <cell r="M276">
            <v>37018.289764494046</v>
          </cell>
          <cell r="N276">
            <v>13688.489780950413</v>
          </cell>
          <cell r="O276">
            <v>961.60914780905296</v>
          </cell>
          <cell r="P276">
            <v>-23.585756920507265</v>
          </cell>
          <cell r="Q276">
            <v>1.8498973890618903E-2</v>
          </cell>
        </row>
        <row r="277">
          <cell r="A277" t="str">
            <v>8060</v>
          </cell>
          <cell r="B277" t="str">
            <v>Wabash City Schools</v>
          </cell>
          <cell r="C277">
            <v>296</v>
          </cell>
          <cell r="D277">
            <v>1.5659967092906987E-3</v>
          </cell>
          <cell r="E277">
            <v>47631.75733425036</v>
          </cell>
          <cell r="F277">
            <v>-89.630456949395011</v>
          </cell>
          <cell r="G277">
            <v>1336</v>
          </cell>
          <cell r="H277">
            <v>1.1640652364463945E-3</v>
          </cell>
          <cell r="I277">
            <v>8851.6266564770285</v>
          </cell>
          <cell r="J277">
            <v>24.564632680314389</v>
          </cell>
          <cell r="K277">
            <v>56418.31816645831</v>
          </cell>
          <cell r="M277">
            <v>48366.241352967525</v>
          </cell>
          <cell r="N277">
            <v>8927.5026087236402</v>
          </cell>
          <cell r="O277">
            <v>-824.11447566655988</v>
          </cell>
          <cell r="P277">
            <v>-51.311319566297243</v>
          </cell>
          <cell r="Q277">
            <v>-1.5279605323370053E-2</v>
          </cell>
        </row>
        <row r="278">
          <cell r="A278" t="str">
            <v>8115</v>
          </cell>
          <cell r="B278" t="str">
            <v>MSD Warren County</v>
          </cell>
          <cell r="C278">
            <v>183</v>
          </cell>
          <cell r="D278">
            <v>9.6816688446012787E-4</v>
          </cell>
          <cell r="E278">
            <v>29448.012135702076</v>
          </cell>
          <cell r="F278">
            <v>244.93567161352257</v>
          </cell>
          <cell r="G278">
            <v>1202</v>
          </cell>
          <cell r="H278">
            <v>1.047310190275873E-3</v>
          </cell>
          <cell r="I278">
            <v>7963.8138032076276</v>
          </cell>
          <cell r="J278">
            <v>17.756836141030362</v>
          </cell>
          <cell r="K278">
            <v>37674.51844666426</v>
          </cell>
          <cell r="M278">
            <v>22486.975190919653</v>
          </cell>
          <cell r="N278">
            <v>7776.4093219499609</v>
          </cell>
          <cell r="O278">
            <v>7205.9726163959458</v>
          </cell>
          <cell r="P278">
            <v>205.16131739869707</v>
          </cell>
          <cell r="Q278">
            <v>0.24488780924826936</v>
          </cell>
        </row>
        <row r="279">
          <cell r="A279" t="str">
            <v>8130</v>
          </cell>
          <cell r="B279" t="str">
            <v>Warrick County School Corp</v>
          </cell>
          <cell r="C279">
            <v>843</v>
          </cell>
          <cell r="D279">
            <v>4.4599163038245241E-3</v>
          </cell>
          <cell r="E279">
            <v>135653.95754315221</v>
          </cell>
          <cell r="F279">
            <v>2146.9840488746413</v>
          </cell>
          <cell r="G279">
            <v>11307</v>
          </cell>
          <cell r="H279">
            <v>9.8518605003737898E-3</v>
          </cell>
          <cell r="I279">
            <v>74914.178596396538</v>
          </cell>
          <cell r="J279">
            <v>145.29763820438529</v>
          </cell>
          <cell r="K279">
            <v>212860.41782662776</v>
          </cell>
          <cell r="M279">
            <v>145290.3955266948</v>
          </cell>
          <cell r="N279">
            <v>75740.898030625758</v>
          </cell>
          <cell r="O279">
            <v>-7489.4539346679521</v>
          </cell>
          <cell r="P279">
            <v>-681.4217960248352</v>
          </cell>
          <cell r="Q279">
            <v>-3.6967053846489913E-2</v>
          </cell>
        </row>
        <row r="280">
          <cell r="A280" t="str">
            <v>8205</v>
          </cell>
          <cell r="B280" t="str">
            <v>Salem Community Schools</v>
          </cell>
          <cell r="C280">
            <v>407</v>
          </cell>
          <cell r="D280">
            <v>2.1532454752747109E-3</v>
          </cell>
          <cell r="E280">
            <v>65493.666334594243</v>
          </cell>
          <cell r="F280">
            <v>429.98591450717504</v>
          </cell>
          <cell r="G280">
            <v>1982</v>
          </cell>
          <cell r="H280">
            <v>1.7269291157460734E-3</v>
          </cell>
          <cell r="I280">
            <v>13131.679665522061</v>
          </cell>
          <cell r="J280">
            <v>30.913007761546396</v>
          </cell>
          <cell r="K280">
            <v>79086.244922385013</v>
          </cell>
          <cell r="M280">
            <v>61118.979460042458</v>
          </cell>
          <cell r="N280">
            <v>13100.90219101683</v>
          </cell>
          <cell r="O280">
            <v>4804.6727890589609</v>
          </cell>
          <cell r="P280">
            <v>61.690482266776598</v>
          </cell>
          <cell r="Q280">
            <v>6.5566842240529E-2</v>
          </cell>
        </row>
        <row r="281">
          <cell r="A281" t="str">
            <v>8215</v>
          </cell>
          <cell r="B281" t="str">
            <v>East Washington School Corp</v>
          </cell>
          <cell r="C281">
            <v>324</v>
          </cell>
          <cell r="D281">
            <v>1.7141315331425215E-3</v>
          </cell>
          <cell r="E281">
            <v>52137.464109111876</v>
          </cell>
          <cell r="F281">
            <v>379.02470057971368</v>
          </cell>
          <cell r="G281">
            <v>1706</v>
          </cell>
          <cell r="H281">
            <v>1.4864485728873871E-3</v>
          </cell>
          <cell r="I281">
            <v>11303.05020654926</v>
          </cell>
          <cell r="J281">
            <v>5.6586775729247165</v>
          </cell>
          <cell r="K281">
            <v>63825.197693813774</v>
          </cell>
          <cell r="M281">
            <v>53759.919546914418</v>
          </cell>
          <cell r="N281">
            <v>11250.082570049635</v>
          </cell>
          <cell r="O281">
            <v>-1243.4307372228286</v>
          </cell>
          <cell r="P281">
            <v>58.626314072549576</v>
          </cell>
          <cell r="Q281">
            <v>-1.8224955923222621E-2</v>
          </cell>
        </row>
        <row r="282">
          <cell r="A282" t="str">
            <v>8220</v>
          </cell>
          <cell r="B282" t="str">
            <v>West Washington School Corp</v>
          </cell>
          <cell r="C282">
            <v>147</v>
          </cell>
          <cell r="D282">
            <v>7.7770782522207003E-4</v>
          </cell>
          <cell r="E282">
            <v>23654.960568022983</v>
          </cell>
          <cell r="F282">
            <v>117.01995026034274</v>
          </cell>
          <cell r="G282">
            <v>992</v>
          </cell>
          <cell r="H282">
            <v>8.6433586418774213E-4</v>
          </cell>
          <cell r="I282">
            <v>6572.4653018152794</v>
          </cell>
          <cell r="J282">
            <v>11.55408719546449</v>
          </cell>
          <cell r="K282">
            <v>30355.99990729407</v>
          </cell>
          <cell r="M282">
            <v>27284.082505984257</v>
          </cell>
          <cell r="N282">
            <v>6586.2348807965536</v>
          </cell>
          <cell r="O282">
            <v>-3512.1019877009312</v>
          </cell>
          <cell r="P282">
            <v>-2.2154917858097178</v>
          </cell>
          <cell r="Q282">
            <v>-0.1037580321245628</v>
          </cell>
        </row>
        <row r="283">
          <cell r="A283" t="str">
            <v>8305</v>
          </cell>
          <cell r="B283" t="str">
            <v>Nettle Creek School Corporation</v>
          </cell>
          <cell r="C283">
            <v>213</v>
          </cell>
          <cell r="D283">
            <v>1.1268827671585095E-3</v>
          </cell>
          <cell r="E283">
            <v>34275.555108767992</v>
          </cell>
          <cell r="F283">
            <v>-117.99930055037839</v>
          </cell>
          <cell r="G283">
            <v>1286</v>
          </cell>
          <cell r="H283">
            <v>1.1204999207111255E-3</v>
          </cell>
          <cell r="I283">
            <v>8520.3532037645673</v>
          </cell>
          <cell r="J283">
            <v>-5.7948797316030323</v>
          </cell>
          <cell r="K283">
            <v>42672.114132250572</v>
          </cell>
          <cell r="M283">
            <v>37216.852749713478</v>
          </cell>
          <cell r="N283">
            <v>8520.1241775639719</v>
          </cell>
          <cell r="O283">
            <v>-3059.2969414958643</v>
          </cell>
          <cell r="P283">
            <v>-5.5658535310067236</v>
          </cell>
          <cell r="Q283">
            <v>-6.70106115649063E-2</v>
          </cell>
        </row>
        <row r="284">
          <cell r="A284" t="str">
            <v>8355</v>
          </cell>
          <cell r="B284" t="str">
            <v>Western Wayne Schools</v>
          </cell>
          <cell r="C284">
            <v>155</v>
          </cell>
          <cell r="D284">
            <v>8.200320606083051E-4</v>
          </cell>
          <cell r="E284">
            <v>24942.305360840561</v>
          </cell>
          <cell r="F284">
            <v>118.35116838367685</v>
          </cell>
          <cell r="G284">
            <v>1014</v>
          </cell>
          <cell r="H284">
            <v>8.835046031112606E-4</v>
          </cell>
          <cell r="I284">
            <v>6718.2256210087635</v>
          </cell>
          <cell r="J284">
            <v>11.852116735934032</v>
          </cell>
          <cell r="K284">
            <v>31790.734266968939</v>
          </cell>
          <cell r="M284">
            <v>27603.157145811965</v>
          </cell>
          <cell r="N284">
            <v>6751.8920852263864</v>
          </cell>
          <cell r="O284">
            <v>-2542.5006165877276</v>
          </cell>
          <cell r="P284">
            <v>-21.814347481688856</v>
          </cell>
          <cell r="Q284">
            <v>-7.4641574425475282E-2</v>
          </cell>
        </row>
        <row r="285">
          <cell r="A285" t="str">
            <v>8360</v>
          </cell>
          <cell r="B285" t="str">
            <v>Centerville-Abington Com Schs</v>
          </cell>
          <cell r="C285">
            <v>274</v>
          </cell>
          <cell r="D285">
            <v>1.4496050619785521E-3</v>
          </cell>
          <cell r="E285">
            <v>44091.559154002018</v>
          </cell>
          <cell r="F285">
            <v>48.594315719768929</v>
          </cell>
          <cell r="G285">
            <v>1571</v>
          </cell>
          <cell r="H285">
            <v>1.3688222204021601E-3</v>
          </cell>
          <cell r="I285">
            <v>10408.611884225609</v>
          </cell>
          <cell r="J285">
            <v>1.2904724809450272</v>
          </cell>
          <cell r="K285">
            <v>54550.055826428346</v>
          </cell>
          <cell r="M285">
            <v>45962.518752001706</v>
          </cell>
          <cell r="N285">
            <v>10412.304123515265</v>
          </cell>
          <cell r="O285">
            <v>-1822.3652822799195</v>
          </cell>
          <cell r="P285">
            <v>-2.4017668087108177</v>
          </cell>
          <cell r="Q285">
            <v>-3.2368475074732492E-2</v>
          </cell>
        </row>
        <row r="286">
          <cell r="A286" t="str">
            <v>8375</v>
          </cell>
          <cell r="B286" t="str">
            <v>Northeastern Wayne Schools</v>
          </cell>
          <cell r="C286">
            <v>239</v>
          </cell>
          <cell r="D286">
            <v>1.2644365321637736E-3</v>
          </cell>
          <cell r="E286">
            <v>38459.425685425122</v>
          </cell>
          <cell r="F286">
            <v>166.93212017565384</v>
          </cell>
          <cell r="G286">
            <v>1062</v>
          </cell>
          <cell r="H286">
            <v>9.2532730621711903E-4</v>
          </cell>
          <cell r="I286">
            <v>7036.2481356127282</v>
          </cell>
          <cell r="J286">
            <v>5.5759143962395683</v>
          </cell>
          <cell r="K286">
            <v>45668.18185560975</v>
          </cell>
          <cell r="M286">
            <v>38931.629568109187</v>
          </cell>
          <cell r="N286">
            <v>7030.0336636963966</v>
          </cell>
          <cell r="O286">
            <v>-305.27176250841148</v>
          </cell>
          <cell r="P286">
            <v>11.790386312571172</v>
          </cell>
          <cell r="Q286">
            <v>-6.3853515203677498E-3</v>
          </cell>
        </row>
        <row r="287">
          <cell r="A287" t="str">
            <v>8385</v>
          </cell>
          <cell r="B287" t="str">
            <v>Richmond Community Schools</v>
          </cell>
          <cell r="C287">
            <v>1450</v>
          </cell>
          <cell r="D287">
            <v>7.6712676637551123E-3</v>
          </cell>
          <cell r="E287">
            <v>233331.24369818589</v>
          </cell>
          <cell r="F287">
            <v>-956.09777975350153</v>
          </cell>
          <cell r="G287">
            <v>5847</v>
          </cell>
          <cell r="H287">
            <v>5.0945280220823872E-3</v>
          </cell>
          <cell r="I287">
            <v>38739.117560195504</v>
          </cell>
          <cell r="J287">
            <v>146.3383502657307</v>
          </cell>
          <cell r="K287">
            <v>271260.60182889365</v>
          </cell>
          <cell r="M287">
            <v>248313.61654732731</v>
          </cell>
          <cell r="N287">
            <v>38893.30021034136</v>
          </cell>
          <cell r="O287">
            <v>-15938.470628894924</v>
          </cell>
          <cell r="P287">
            <v>-7.8442998801256181</v>
          </cell>
          <cell r="Q287">
            <v>-5.5522043510636554E-2</v>
          </cell>
        </row>
        <row r="288">
          <cell r="A288" t="str">
            <v>8425</v>
          </cell>
          <cell r="B288" t="str">
            <v>Southern Wells Com Schools</v>
          </cell>
          <cell r="C288">
            <v>67</v>
          </cell>
          <cell r="D288">
            <v>3.5446547135971899E-4</v>
          </cell>
          <cell r="E288">
            <v>10781.512639847209</v>
          </cell>
          <cell r="F288">
            <v>-248.32672392740824</v>
          </cell>
          <cell r="G288">
            <v>778</v>
          </cell>
          <cell r="H288">
            <v>6.7787631284078973E-4</v>
          </cell>
          <cell r="I288">
            <v>5154.6149242059355</v>
          </cell>
          <cell r="J288">
            <v>24.465892627938956</v>
          </cell>
          <cell r="K288">
            <v>15712.266732753675</v>
          </cell>
          <cell r="M288">
            <v>11349.308168282214</v>
          </cell>
          <cell r="N288">
            <v>5124.1428462159065</v>
          </cell>
          <cell r="O288">
            <v>-816.12225236241284</v>
          </cell>
          <cell r="P288">
            <v>54.937970617967949</v>
          </cell>
          <cell r="Q288">
            <v>-4.6206728697862645E-2</v>
          </cell>
        </row>
        <row r="289">
          <cell r="A289" t="str">
            <v>8435</v>
          </cell>
          <cell r="B289" t="str">
            <v>Northern Wells Community Schools</v>
          </cell>
          <cell r="C289">
            <v>303</v>
          </cell>
          <cell r="D289">
            <v>1.6030304152536545E-3</v>
          </cell>
          <cell r="E289">
            <v>48758.184027965741</v>
          </cell>
          <cell r="F289">
            <v>-581.14389055164793</v>
          </cell>
          <cell r="G289">
            <v>2812</v>
          </cell>
          <cell r="H289">
            <v>2.4501133569515433E-3</v>
          </cell>
          <cell r="I289">
            <v>18630.818980548956</v>
          </cell>
          <cell r="J289">
            <v>18.417285084928153</v>
          </cell>
          <cell r="K289">
            <v>66826.276403047974</v>
          </cell>
          <cell r="M289">
            <v>42155.346328686552</v>
          </cell>
          <cell r="N289">
            <v>18532.030505698058</v>
          </cell>
          <cell r="O289">
            <v>6021.6938087275412</v>
          </cell>
          <cell r="P289">
            <v>117.20575993582679</v>
          </cell>
          <cell r="Q289">
            <v>0.1011561199195737</v>
          </cell>
        </row>
        <row r="290">
          <cell r="A290" t="str">
            <v>8445</v>
          </cell>
          <cell r="B290" t="str">
            <v>MSD Bluffton-Harrison</v>
          </cell>
          <cell r="C290">
            <v>234</v>
          </cell>
          <cell r="D290">
            <v>1.2379838850473768E-3</v>
          </cell>
          <cell r="E290">
            <v>37654.835189914134</v>
          </cell>
          <cell r="F290">
            <v>23.271307855742634</v>
          </cell>
          <cell r="G290">
            <v>1532</v>
          </cell>
          <cell r="H290">
            <v>1.3348412741286501E-3</v>
          </cell>
          <cell r="I290">
            <v>10150.218591109888</v>
          </cell>
          <cell r="J290">
            <v>11.678814142314877</v>
          </cell>
          <cell r="K290">
            <v>47840.00390302208</v>
          </cell>
          <cell r="M290">
            <v>40058.942442606771</v>
          </cell>
          <cell r="N290">
            <v>10091.974115397908</v>
          </cell>
          <cell r="O290">
            <v>-2380.8359448368938</v>
          </cell>
          <cell r="P290">
            <v>69.923289854294126</v>
          </cell>
          <cell r="Q290">
            <v>-4.6079170902286339E-2</v>
          </cell>
        </row>
        <row r="291">
          <cell r="A291" t="str">
            <v>8515</v>
          </cell>
          <cell r="B291" t="str">
            <v>North White School Corp</v>
          </cell>
          <cell r="C291">
            <v>177</v>
          </cell>
          <cell r="D291">
            <v>9.3642370792045156E-4</v>
          </cell>
          <cell r="E291">
            <v>28482.503541088896</v>
          </cell>
          <cell r="F291">
            <v>340.37934239173774</v>
          </cell>
          <cell r="G291">
            <v>958</v>
          </cell>
          <cell r="H291">
            <v>8.34711449487759E-4</v>
          </cell>
          <cell r="I291">
            <v>6347.1993539708037</v>
          </cell>
          <cell r="J291">
            <v>6.8502972322312417</v>
          </cell>
          <cell r="K291">
            <v>35176.93253468367</v>
          </cell>
          <cell r="M291">
            <v>40217.178766290577</v>
          </cell>
          <cell r="N291">
            <v>6297.1133100236148</v>
          </cell>
          <cell r="O291">
            <v>-11394.295882809944</v>
          </cell>
          <cell r="P291">
            <v>56.936341179420197</v>
          </cell>
          <cell r="Q291">
            <v>-0.24373926884729877</v>
          </cell>
        </row>
        <row r="292">
          <cell r="A292" t="str">
            <v>8525</v>
          </cell>
          <cell r="B292" t="str">
            <v>Frontier School Corporation</v>
          </cell>
          <cell r="C292">
            <v>62</v>
          </cell>
          <cell r="D292">
            <v>3.2801282424332201E-4</v>
          </cell>
          <cell r="E292">
            <v>9976.9221443362221</v>
          </cell>
          <cell r="F292">
            <v>49.256954530959774</v>
          </cell>
          <cell r="G292">
            <v>738</v>
          </cell>
          <cell r="H292">
            <v>6.4302406025257427E-4</v>
          </cell>
          <cell r="I292">
            <v>4889.596162035964</v>
          </cell>
          <cell r="J292">
            <v>-5.5966674802084526</v>
          </cell>
          <cell r="K292">
            <v>14910.178593422937</v>
          </cell>
          <cell r="M292">
            <v>11488.020135888397</v>
          </cell>
          <cell r="N292">
            <v>4869.1918082582251</v>
          </cell>
          <cell r="O292">
            <v>-1461.841037021215</v>
          </cell>
          <cell r="P292">
            <v>14.807686297530381</v>
          </cell>
          <cell r="Q292">
            <v>-8.8464547360805029E-2</v>
          </cell>
        </row>
        <row r="293">
          <cell r="A293" t="str">
            <v>8535</v>
          </cell>
          <cell r="B293" t="str">
            <v>Tri-County School Corporation</v>
          </cell>
          <cell r="C293">
            <v>93</v>
          </cell>
          <cell r="D293">
            <v>4.9201923636498304E-4</v>
          </cell>
          <cell r="E293">
            <v>14965.383216504335</v>
          </cell>
          <cell r="F293">
            <v>63.629252665079548</v>
          </cell>
          <cell r="G293">
            <v>756</v>
          </cell>
          <cell r="H293">
            <v>6.5870757391727126E-4</v>
          </cell>
          <cell r="I293">
            <v>5008.8546050124514</v>
          </cell>
          <cell r="J293">
            <v>31.341872024120676</v>
          </cell>
          <cell r="K293">
            <v>20069.208946205985</v>
          </cell>
          <cell r="M293">
            <v>14838.698361918436</v>
          </cell>
          <cell r="N293">
            <v>5097.9469906342156</v>
          </cell>
          <cell r="O293">
            <v>190.31410725097885</v>
          </cell>
          <cell r="P293">
            <v>-57.750513597643476</v>
          </cell>
          <cell r="Q293">
            <v>6.6492427040320589E-3</v>
          </cell>
        </row>
        <row r="294">
          <cell r="A294" t="str">
            <v>8565</v>
          </cell>
          <cell r="B294" t="str">
            <v>Twin Lakes School Corp</v>
          </cell>
          <cell r="C294">
            <v>308</v>
          </cell>
          <cell r="D294">
            <v>1.6294830623700513E-3</v>
          </cell>
          <cell r="E294">
            <v>49562.774523476721</v>
          </cell>
          <cell r="F294">
            <v>834.66046925070259</v>
          </cell>
          <cell r="G294">
            <v>2371</v>
          </cell>
          <cell r="H294">
            <v>2.0658672721664685E-3</v>
          </cell>
          <cell r="I294">
            <v>15708.987127625029</v>
          </cell>
          <cell r="J294">
            <v>47.714659111707078</v>
          </cell>
          <cell r="K294">
            <v>66154.136779464156</v>
          </cell>
          <cell r="M294">
            <v>56122.015845811649</v>
          </cell>
          <cell r="N294">
            <v>15703.921337636633</v>
          </cell>
          <cell r="O294">
            <v>-5724.580853084226</v>
          </cell>
          <cell r="P294">
            <v>52.780449100102487</v>
          </cell>
          <cell r="Q294">
            <v>-7.8965908784426483E-2</v>
          </cell>
        </row>
        <row r="295">
          <cell r="A295" t="str">
            <v>8625</v>
          </cell>
          <cell r="B295" t="str">
            <v>Smith-Green Community Schools</v>
          </cell>
          <cell r="C295">
            <v>101</v>
          </cell>
          <cell r="D295">
            <v>5.3434347175121812E-4</v>
          </cell>
          <cell r="E295">
            <v>16252.728009321912</v>
          </cell>
          <cell r="F295">
            <v>366.71585182824856</v>
          </cell>
          <cell r="G295">
            <v>1313</v>
          </cell>
          <cell r="H295">
            <v>1.1440251912081707E-3</v>
          </cell>
          <cell r="I295">
            <v>8699.2408682292953</v>
          </cell>
          <cell r="J295">
            <v>0.14849997778583202</v>
          </cell>
          <cell r="K295">
            <v>25318.833229357242</v>
          </cell>
          <cell r="M295">
            <v>16253.886937046909</v>
          </cell>
          <cell r="N295">
            <v>8731.1129341361739</v>
          </cell>
          <cell r="O295">
            <v>365.55692410325173</v>
          </cell>
          <cell r="P295">
            <v>-31.723565929092729</v>
          </cell>
          <cell r="Q295">
            <v>1.3361351206537003E-2</v>
          </cell>
        </row>
        <row r="296">
          <cell r="A296" t="str">
            <v>8665</v>
          </cell>
          <cell r="B296" t="str">
            <v>Whitley County Con Schools</v>
          </cell>
          <cell r="C296">
            <v>300</v>
          </cell>
          <cell r="D296">
            <v>1.5871588269838163E-3</v>
          </cell>
          <cell r="E296">
            <v>48275.429730659147</v>
          </cell>
          <cell r="F296">
            <v>1723.4332148222675</v>
          </cell>
          <cell r="G296">
            <v>3894</v>
          </cell>
          <cell r="H296">
            <v>3.3928667894627699E-3</v>
          </cell>
          <cell r="I296">
            <v>25799.576497246671</v>
          </cell>
          <cell r="J296">
            <v>48.109518274908623</v>
          </cell>
          <cell r="K296">
            <v>75846.548961003005</v>
          </cell>
          <cell r="M296">
            <v>55580.94319371353</v>
          </cell>
          <cell r="N296">
            <v>25592.794855183765</v>
          </cell>
          <cell r="O296">
            <v>-5582.080248232116</v>
          </cell>
          <cell r="P296">
            <v>254.89116033781465</v>
          </cell>
          <cell r="Q296">
            <v>-6.562700222928404E-2</v>
          </cell>
        </row>
        <row r="297">
          <cell r="A297">
            <v>8635</v>
          </cell>
          <cell r="B297" t="str">
            <v>Purdue Polytechnic High Sch North</v>
          </cell>
          <cell r="C297">
            <v>24</v>
          </cell>
          <cell r="D297">
            <v>1.2697270615870531E-4</v>
          </cell>
          <cell r="E297">
            <v>3862.0343784527322</v>
          </cell>
          <cell r="F297">
            <v>1797.9466822484437</v>
          </cell>
          <cell r="G297">
            <v>133</v>
          </cell>
          <cell r="H297">
            <v>1.1588373985581623E-4</v>
          </cell>
          <cell r="I297">
            <v>881.18738421515343</v>
          </cell>
          <cell r="J297">
            <v>400.68802603195411</v>
          </cell>
          <cell r="K297">
            <v>6941.8564709482835</v>
          </cell>
          <cell r="M297">
            <v>3704.4072124746835</v>
          </cell>
          <cell r="N297">
            <v>824.00751374872448</v>
          </cell>
          <cell r="O297">
            <v>1955.5738482264924</v>
          </cell>
          <cell r="P297">
            <v>457.86789649838306</v>
          </cell>
          <cell r="Q297">
            <v>0.53295510474095398</v>
          </cell>
        </row>
        <row r="298">
          <cell r="A298">
            <v>8675</v>
          </cell>
          <cell r="B298" t="str">
            <v>Invent Learning Hub</v>
          </cell>
          <cell r="C298">
            <v>83</v>
          </cell>
          <cell r="D298">
            <v>4.3911394213218919E-4</v>
          </cell>
          <cell r="E298">
            <v>13356.202225482364</v>
          </cell>
          <cell r="F298">
            <v>7791.1022897432567</v>
          </cell>
          <cell r="G298">
            <v>155</v>
          </cell>
          <cell r="H298">
            <v>1.3505247877933471E-4</v>
          </cell>
          <cell r="I298">
            <v>1026.9477034086374</v>
          </cell>
          <cell r="J298">
            <v>601.03203904793111</v>
          </cell>
          <cell r="K298">
            <v>22775.284257682189</v>
          </cell>
          <cell r="M298">
            <v>16052.431254056959</v>
          </cell>
          <cell r="N298">
            <v>1236.0112706230866</v>
          </cell>
          <cell r="O298">
            <v>5094.873261168661</v>
          </cell>
          <cell r="P298">
            <v>391.968471833482</v>
          </cell>
          <cell r="Q298">
            <v>0.31737050490056723</v>
          </cell>
        </row>
        <row r="299">
          <cell r="A299">
            <v>8685</v>
          </cell>
          <cell r="B299" t="str">
            <v>PLA at George H Fisher School 93</v>
          </cell>
          <cell r="C299">
            <v>206</v>
          </cell>
          <cell r="D299">
            <v>1.0898490611955538E-3</v>
          </cell>
          <cell r="E299">
            <v>33149.128415052612</v>
          </cell>
          <cell r="F299">
            <v>31763.724719722508</v>
          </cell>
          <cell r="G299">
            <v>479</v>
          </cell>
          <cell r="H299">
            <v>4.173557247438795E-4</v>
          </cell>
          <cell r="I299">
            <v>3173.5996769854019</v>
          </cell>
          <cell r="J299">
            <v>2998.8994448329063</v>
          </cell>
          <cell r="K299">
            <v>71085.352256593425</v>
          </cell>
          <cell r="M299">
            <v>65444.527420386068</v>
          </cell>
          <cell r="N299">
            <v>6167.1812357131093</v>
          </cell>
          <cell r="O299">
            <v>-531.67428561094857</v>
          </cell>
          <cell r="P299">
            <v>5.3178861051983404</v>
          </cell>
          <cell r="Q299">
            <v>-7.3501444021322124E-3</v>
          </cell>
        </row>
        <row r="300">
          <cell r="A300">
            <v>8690</v>
          </cell>
          <cell r="B300" t="str">
            <v>Dynamic Minds Academy</v>
          </cell>
          <cell r="C300">
            <v>2</v>
          </cell>
          <cell r="D300">
            <v>1.0581058846558774E-5</v>
          </cell>
          <cell r="E300">
            <v>321.83619820439429</v>
          </cell>
          <cell r="F300">
            <v>299.65778037474064</v>
          </cell>
          <cell r="G300">
            <v>106</v>
          </cell>
          <cell r="H300">
            <v>9.2358469358770829E-5</v>
          </cell>
          <cell r="I300">
            <v>702.29971975042304</v>
          </cell>
          <cell r="J300">
            <v>663.63954311542398</v>
          </cell>
          <cell r="K300">
            <v>1987.4332414449821</v>
          </cell>
          <cell r="M300">
            <v>617.40120207911389</v>
          </cell>
          <cell r="N300">
            <v>1364.7624446463249</v>
          </cell>
          <cell r="O300">
            <v>4.0927765000210456</v>
          </cell>
          <cell r="P300">
            <v>1.176818219522147</v>
          </cell>
          <cell r="Q300">
            <v>2.658506389343097E-3</v>
          </cell>
        </row>
        <row r="301">
          <cell r="A301">
            <v>8940</v>
          </cell>
          <cell r="B301" t="str">
            <v>James and Rosemary Phalen Leadersh</v>
          </cell>
          <cell r="C301">
            <v>144</v>
          </cell>
          <cell r="D301">
            <v>7.6183623695223182E-4</v>
          </cell>
          <cell r="E301">
            <v>23172.20627071639</v>
          </cell>
          <cell r="G301">
            <v>324</v>
          </cell>
          <cell r="H301">
            <v>2.8230324596454482E-4</v>
          </cell>
          <cell r="I301">
            <v>2146.6519735767647</v>
          </cell>
          <cell r="K301">
            <v>25318.858244293155</v>
          </cell>
          <cell r="M301">
            <v>0</v>
          </cell>
          <cell r="N301">
            <v>0</v>
          </cell>
          <cell r="O301">
            <v>23172.20627071639</v>
          </cell>
          <cell r="P301">
            <v>2146.6519735767647</v>
          </cell>
          <cell r="Q301" t="e">
            <v>#DIV/0!</v>
          </cell>
        </row>
        <row r="302">
          <cell r="A302">
            <v>8950</v>
          </cell>
          <cell r="B302" t="str">
            <v>Phalen Leadership Academy at Franc</v>
          </cell>
          <cell r="C302">
            <v>228</v>
          </cell>
          <cell r="D302">
            <v>1.2062407085077003E-3</v>
          </cell>
          <cell r="E302">
            <v>36689.326595300954</v>
          </cell>
          <cell r="G302">
            <v>451</v>
          </cell>
          <cell r="H302">
            <v>3.9295914793212875E-4</v>
          </cell>
          <cell r="I302">
            <v>2988.0865434664224</v>
          </cell>
          <cell r="K302">
            <v>39677.413138767377</v>
          </cell>
          <cell r="M302">
            <v>0</v>
          </cell>
          <cell r="N302">
            <v>0</v>
          </cell>
          <cell r="O302">
            <v>36689.326595300954</v>
          </cell>
          <cell r="P302">
            <v>2988.0865434664224</v>
          </cell>
          <cell r="Q302" t="e">
            <v>#DIV/0!</v>
          </cell>
        </row>
        <row r="303">
          <cell r="A303">
            <v>8960</v>
          </cell>
          <cell r="B303" t="str">
            <v>Purdue Polytechnic High School Sou</v>
          </cell>
          <cell r="C303">
            <v>5</v>
          </cell>
          <cell r="D303">
            <v>2.6452647116396937E-5</v>
          </cell>
          <cell r="E303">
            <v>804.59049551098576</v>
          </cell>
          <cell r="G303">
            <v>27</v>
          </cell>
          <cell r="H303">
            <v>2.3525270497045399E-5</v>
          </cell>
          <cell r="I303">
            <v>178.88766446473039</v>
          </cell>
          <cell r="K303">
            <v>983.47815997571615</v>
          </cell>
          <cell r="M303">
            <v>0</v>
          </cell>
          <cell r="N303">
            <v>0</v>
          </cell>
          <cell r="O303">
            <v>804.59049551098576</v>
          </cell>
          <cell r="P303">
            <v>178.88766446473039</v>
          </cell>
          <cell r="Q303" t="e">
            <v>#DIV/0!</v>
          </cell>
        </row>
        <row r="304">
          <cell r="A304">
            <v>8970</v>
          </cell>
          <cell r="B304" t="str">
            <v>GEO Next Generation Academy</v>
          </cell>
          <cell r="C304">
            <v>35</v>
          </cell>
          <cell r="D304">
            <v>1.8516852981477857E-4</v>
          </cell>
          <cell r="E304">
            <v>5632.1334685769007</v>
          </cell>
          <cell r="G304">
            <v>91</v>
          </cell>
          <cell r="H304">
            <v>7.9288874638190057E-5</v>
          </cell>
          <cell r="I304">
            <v>602.91768393668394</v>
          </cell>
          <cell r="K304">
            <v>6235.0511525135844</v>
          </cell>
          <cell r="M304">
            <v>0</v>
          </cell>
          <cell r="N304">
            <v>0</v>
          </cell>
          <cell r="O304">
            <v>5632.1334685769007</v>
          </cell>
          <cell r="P304">
            <v>602.91768393668394</v>
          </cell>
          <cell r="Q304" t="e">
            <v>#DIV/0!</v>
          </cell>
        </row>
        <row r="305">
          <cell r="A305">
            <v>8980</v>
          </cell>
          <cell r="B305" t="str">
            <v>The PATH School</v>
          </cell>
          <cell r="C305">
            <v>247</v>
          </cell>
          <cell r="D305">
            <v>1.3067607675500087E-3</v>
          </cell>
          <cell r="E305">
            <v>39746.770478242695</v>
          </cell>
          <cell r="G305">
            <v>512</v>
          </cell>
          <cell r="H305">
            <v>4.4610883312915721E-4</v>
          </cell>
          <cell r="I305">
            <v>3392.240155775628</v>
          </cell>
          <cell r="K305">
            <v>43139.010634018327</v>
          </cell>
          <cell r="M305">
            <v>0</v>
          </cell>
          <cell r="N305">
            <v>0</v>
          </cell>
          <cell r="O305">
            <v>39746.770478242695</v>
          </cell>
          <cell r="P305">
            <v>3392.240155775628</v>
          </cell>
          <cell r="Q305" t="e">
            <v>#DIV/0!</v>
          </cell>
        </row>
        <row r="306">
          <cell r="A306">
            <v>8990</v>
          </cell>
          <cell r="B306" t="str">
            <v>HIM By HER Collegiate School for t</v>
          </cell>
          <cell r="C306">
            <v>28</v>
          </cell>
          <cell r="D306">
            <v>1.4813482385182285E-4</v>
          </cell>
          <cell r="E306">
            <v>4505.70677486152</v>
          </cell>
          <cell r="G306">
            <v>63</v>
          </cell>
          <cell r="H306">
            <v>5.4892297826439267E-5</v>
          </cell>
          <cell r="I306">
            <v>417.40455041770423</v>
          </cell>
          <cell r="K306">
            <v>4923.1113252792238</v>
          </cell>
          <cell r="M306">
            <v>0</v>
          </cell>
          <cell r="N306">
            <v>0</v>
          </cell>
          <cell r="O306">
            <v>4505.70677486152</v>
          </cell>
          <cell r="P306">
            <v>417.40455041770423</v>
          </cell>
          <cell r="Q306" t="e">
            <v>#DIV/0!</v>
          </cell>
        </row>
        <row r="307">
          <cell r="A307">
            <v>9000</v>
          </cell>
          <cell r="B307" t="str">
            <v>Phalen Virtual Leadership Academy</v>
          </cell>
          <cell r="C307">
            <v>6</v>
          </cell>
          <cell r="D307">
            <v>3.1743176539676328E-5</v>
          </cell>
          <cell r="E307">
            <v>965.50859461318305</v>
          </cell>
          <cell r="G307">
            <v>33</v>
          </cell>
          <cell r="H307">
            <v>2.8753108385277713E-5</v>
          </cell>
          <cell r="I307">
            <v>218.64047879022604</v>
          </cell>
          <cell r="K307">
            <v>1184.1490734034091</v>
          </cell>
          <cell r="M307">
            <v>0</v>
          </cell>
          <cell r="N307">
            <v>0</v>
          </cell>
          <cell r="O307">
            <v>965.50859461318305</v>
          </cell>
          <cell r="P307">
            <v>218.64047879022604</v>
          </cell>
          <cell r="Q307" t="e">
            <v>#DIV/0!</v>
          </cell>
        </row>
        <row r="308">
          <cell r="A308">
            <v>9010</v>
          </cell>
          <cell r="B308" t="str">
            <v xml:space="preserve">Ignite Achievement Academy </v>
          </cell>
          <cell r="C308">
            <v>218</v>
          </cell>
          <cell r="D308">
            <v>1.1533354142749064E-3</v>
          </cell>
          <cell r="E308">
            <v>35080.14560427898</v>
          </cell>
          <cell r="F308">
            <v>177.9334425951165</v>
          </cell>
          <cell r="G308">
            <v>417</v>
          </cell>
          <cell r="H308">
            <v>3.6333473323214561E-4</v>
          </cell>
          <cell r="I308">
            <v>2762.8205956219472</v>
          </cell>
          <cell r="J308">
            <v>-0.18523540768637758</v>
          </cell>
          <cell r="K308">
            <v>38020.714407088359</v>
          </cell>
          <cell r="M308">
            <v>41484.57826416364</v>
          </cell>
          <cell r="N308">
            <v>3531.8867402291162</v>
          </cell>
          <cell r="O308">
            <v>-6226.4992172895436</v>
          </cell>
          <cell r="P308">
            <v>-769.25138001485539</v>
          </cell>
          <cell r="Q308">
            <v>-0.15540426367600713</v>
          </cell>
        </row>
        <row r="309">
          <cell r="A309">
            <v>9015</v>
          </cell>
          <cell r="B309" t="str">
            <v>Purdue Polytechnic High School Ind</v>
          </cell>
          <cell r="C309">
            <v>171</v>
          </cell>
          <cell r="D309">
            <v>9.0468053138077526E-4</v>
          </cell>
          <cell r="E309">
            <v>27516.994946475712</v>
          </cell>
          <cell r="F309">
            <v>9308.1367167876942</v>
          </cell>
          <cell r="G309">
            <v>499</v>
          </cell>
          <cell r="H309">
            <v>4.3478185103798723E-4</v>
          </cell>
          <cell r="I309">
            <v>3306.1090580703876</v>
          </cell>
          <cell r="J309">
            <v>1274.8574684223372</v>
          </cell>
          <cell r="K309">
            <v>41406.098189756129</v>
          </cell>
          <cell r="M309">
            <v>16046.042796070849</v>
          </cell>
          <cell r="N309">
            <v>2381.1721184068333</v>
          </cell>
          <cell r="O309">
            <v>20779.088867192557</v>
          </cell>
          <cell r="P309">
            <v>2199.7944080858911</v>
          </cell>
          <cell r="Q309">
            <v>1.2470079380918635</v>
          </cell>
        </row>
        <row r="310">
          <cell r="A310">
            <v>9030</v>
          </cell>
          <cell r="B310" t="str">
            <v>Otwell Miller Academy</v>
          </cell>
          <cell r="C310">
            <v>12</v>
          </cell>
          <cell r="D310">
            <v>6.3486353079352656E-5</v>
          </cell>
          <cell r="E310">
            <v>1931.0171892263661</v>
          </cell>
          <cell r="F310">
            <v>10.939864153580402</v>
          </cell>
          <cell r="G310">
            <v>91</v>
          </cell>
          <cell r="H310">
            <v>7.9288874638190057E-5</v>
          </cell>
          <cell r="I310">
            <v>602.91768393668394</v>
          </cell>
          <cell r="J310">
            <v>-2.8069869145042503E-2</v>
          </cell>
          <cell r="K310">
            <v>2544.8466674474857</v>
          </cell>
          <cell r="M310">
            <v>2552.8872377885664</v>
          </cell>
          <cell r="N310">
            <v>582.03622574141411</v>
          </cell>
          <cell r="O310">
            <v>-610.93018440861988</v>
          </cell>
          <cell r="P310">
            <v>20.853388326124787</v>
          </cell>
          <cell r="Q310">
            <v>-0.1882268587884624</v>
          </cell>
        </row>
        <row r="311">
          <cell r="A311">
            <v>9035</v>
          </cell>
          <cell r="B311" t="str">
            <v>Indiana Connections Career Academy</v>
          </cell>
          <cell r="C311">
            <v>40</v>
          </cell>
          <cell r="D311">
            <v>2.1162117693117549E-4</v>
          </cell>
          <cell r="E311">
            <v>6436.7239640878861</v>
          </cell>
          <cell r="F311">
            <v>2216.2625031110297</v>
          </cell>
          <cell r="G311">
            <v>544</v>
          </cell>
          <cell r="H311">
            <v>4.7399063519972955E-4</v>
          </cell>
          <cell r="I311">
            <v>3604.2551655116049</v>
          </cell>
          <cell r="J311">
            <v>1642.8993220058696</v>
          </cell>
          <cell r="K311">
            <v>13900.140954716389</v>
          </cell>
          <cell r="M311">
            <v>2859.6907953393593</v>
          </cell>
          <cell r="N311">
            <v>2281.9566134732149</v>
          </cell>
          <cell r="O311">
            <v>5793.2956718595569</v>
          </cell>
          <cell r="P311">
            <v>2965.1978740442601</v>
          </cell>
          <cell r="Q311">
            <v>1.7034411054503884</v>
          </cell>
        </row>
        <row r="312">
          <cell r="A312">
            <v>9040</v>
          </cell>
          <cell r="B312" t="str">
            <v>Avondale Meadows Middle School</v>
          </cell>
          <cell r="C312">
            <v>68</v>
          </cell>
          <cell r="D312">
            <v>3.5975600078299837E-4</v>
          </cell>
          <cell r="E312">
            <v>10942.430738949406</v>
          </cell>
          <cell r="F312">
            <v>5623.2748036785997</v>
          </cell>
          <cell r="G312">
            <v>168</v>
          </cell>
          <cell r="H312">
            <v>1.4637946087050471E-4</v>
          </cell>
          <cell r="I312">
            <v>1113.0788011138779</v>
          </cell>
          <cell r="J312">
            <v>559.51430919365612</v>
          </cell>
          <cell r="K312">
            <v>18238.29865293554</v>
          </cell>
          <cell r="M312">
            <v>11279.89147050525</v>
          </cell>
          <cell r="N312">
            <v>1223.6578941812893</v>
          </cell>
          <cell r="O312">
            <v>5285.8140721227555</v>
          </cell>
          <cell r="P312">
            <v>448.93521612624477</v>
          </cell>
          <cell r="Q312">
            <v>0.45864970985322845</v>
          </cell>
        </row>
        <row r="313">
          <cell r="A313">
            <v>9045</v>
          </cell>
          <cell r="B313" t="str">
            <v>James &amp; Rosemary Phalen Leadership</v>
          </cell>
          <cell r="C313">
            <v>141</v>
          </cell>
          <cell r="D313">
            <v>7.4596464868239361E-4</v>
          </cell>
          <cell r="E313">
            <v>22689.451973409799</v>
          </cell>
          <cell r="F313">
            <v>23032.775052745019</v>
          </cell>
          <cell r="G313">
            <v>278</v>
          </cell>
          <cell r="H313">
            <v>2.4222315548809708E-4</v>
          </cell>
          <cell r="I313">
            <v>1841.880397081298</v>
          </cell>
          <cell r="J313">
            <v>2141.2056075561568</v>
          </cell>
          <cell r="K313">
            <v>49705.313030792269</v>
          </cell>
          <cell r="M313">
            <v>33839.674411515749</v>
          </cell>
          <cell r="N313">
            <v>3095.5237539288828</v>
          </cell>
          <cell r="O313">
            <v>11882.552614639069</v>
          </cell>
          <cell r="P313">
            <v>887.56225070857181</v>
          </cell>
          <cell r="Q313">
            <v>0.34574377557543323</v>
          </cell>
        </row>
        <row r="314">
          <cell r="A314">
            <v>9050</v>
          </cell>
          <cell r="B314" t="str">
            <v>Excel Center - Clarksville</v>
          </cell>
          <cell r="C314">
            <v>14</v>
          </cell>
          <cell r="D314">
            <v>7.4067411925911425E-5</v>
          </cell>
          <cell r="E314">
            <v>2252.85338743076</v>
          </cell>
          <cell r="F314">
            <v>781.96819715073138</v>
          </cell>
          <cell r="G314">
            <v>65</v>
          </cell>
          <cell r="H314">
            <v>5.6634910455850035E-5</v>
          </cell>
          <cell r="I314">
            <v>430.65548852620276</v>
          </cell>
          <cell r="J314">
            <v>190.48249507552813</v>
          </cell>
          <cell r="K314">
            <v>3655.959568183222</v>
          </cell>
          <cell r="M314">
            <v>953.2302651131198</v>
          </cell>
          <cell r="N314">
            <v>238.1172118406833</v>
          </cell>
          <cell r="O314">
            <v>2081.5913194683712</v>
          </cell>
          <cell r="P314">
            <v>383.02077176104757</v>
          </cell>
          <cell r="Q314">
            <v>2.0687600711853347</v>
          </cell>
        </row>
        <row r="315">
          <cell r="A315">
            <v>9060</v>
          </cell>
          <cell r="B315" t="str">
            <v>Paramount Cottage Home</v>
          </cell>
          <cell r="C315">
            <v>93</v>
          </cell>
          <cell r="D315">
            <v>4.9201923636498304E-4</v>
          </cell>
          <cell r="E315">
            <v>14965.383216504335</v>
          </cell>
          <cell r="F315">
            <v>9774.3476158453632</v>
          </cell>
          <cell r="G315">
            <v>230</v>
          </cell>
          <cell r="H315">
            <v>2.004004523822386E-4</v>
          </cell>
          <cell r="I315">
            <v>1523.8578824773329</v>
          </cell>
          <cell r="J315">
            <v>813.7722244400926</v>
          </cell>
          <cell r="K315">
            <v>27077.360939267124</v>
          </cell>
          <cell r="M315">
            <v>10008.917783687757</v>
          </cell>
          <cell r="N315">
            <v>892.93954440256243</v>
          </cell>
          <cell r="O315">
            <v>14730.813048661941</v>
          </cell>
          <cell r="P315">
            <v>1444.6905625148631</v>
          </cell>
          <cell r="Q315">
            <v>1.4837383323205047</v>
          </cell>
        </row>
        <row r="316">
          <cell r="A316">
            <v>9065</v>
          </cell>
          <cell r="B316" t="str">
            <v>Allegiant Preparatory Academy</v>
          </cell>
          <cell r="C316">
            <v>29</v>
          </cell>
          <cell r="D316">
            <v>1.5342535327510224E-4</v>
          </cell>
          <cell r="E316">
            <v>4666.6248739637176</v>
          </cell>
          <cell r="F316">
            <v>3171.0027723350822</v>
          </cell>
          <cell r="G316">
            <v>107</v>
          </cell>
          <cell r="H316">
            <v>9.3229775673476213E-5</v>
          </cell>
          <cell r="I316">
            <v>708.9251888046723</v>
          </cell>
          <cell r="J316">
            <v>395.54803156194617</v>
          </cell>
          <cell r="K316">
            <v>8942.1008666654179</v>
          </cell>
          <cell r="M316">
            <v>3177.4342170437326</v>
          </cell>
          <cell r="N316">
            <v>429.93385471234484</v>
          </cell>
          <cell r="O316">
            <v>4660.1934292550668</v>
          </cell>
          <cell r="P316">
            <v>674.53936565427375</v>
          </cell>
          <cell r="Q316">
            <v>1.4788434916519004</v>
          </cell>
        </row>
        <row r="317">
          <cell r="A317">
            <v>9070</v>
          </cell>
          <cell r="B317" t="str">
            <v>Gary Middle College West</v>
          </cell>
          <cell r="C317">
            <v>22</v>
          </cell>
          <cell r="D317">
            <v>1.1639164731214653E-4</v>
          </cell>
          <cell r="E317">
            <v>3540.1981802483374</v>
          </cell>
          <cell r="F317">
            <v>1694.2644271599179</v>
          </cell>
          <cell r="G317">
            <v>46</v>
          </cell>
          <cell r="H317">
            <v>4.008009047644772E-5</v>
          </cell>
          <cell r="I317">
            <v>304.7715764954666</v>
          </cell>
          <cell r="J317">
            <v>190.48390933878159</v>
          </cell>
          <cell r="K317">
            <v>5729.7180932425035</v>
          </cell>
          <cell r="M317">
            <v>2065.3322410784258</v>
          </cell>
          <cell r="N317">
            <v>211.65974385838516</v>
          </cell>
          <cell r="O317">
            <v>3169.1303663298295</v>
          </cell>
          <cell r="P317">
            <v>283.59574197586301</v>
          </cell>
          <cell r="Q317">
            <v>1.5163540895825811</v>
          </cell>
        </row>
        <row r="318">
          <cell r="A318">
            <v>9080</v>
          </cell>
          <cell r="B318" t="str">
            <v>Vanguard Collegiate of Indy</v>
          </cell>
          <cell r="C318">
            <v>48</v>
          </cell>
          <cell r="D318">
            <v>2.5394541231741062E-4</v>
          </cell>
          <cell r="E318">
            <v>7724.0687569054644</v>
          </cell>
          <cell r="F318">
            <v>6466.155609084667</v>
          </cell>
          <cell r="G318">
            <v>87</v>
          </cell>
          <cell r="H318">
            <v>7.5803649379368508E-5</v>
          </cell>
          <cell r="I318">
            <v>576.41580771968677</v>
          </cell>
          <cell r="J318">
            <v>451.99297083119171</v>
          </cell>
          <cell r="K318">
            <v>15218.633144541011</v>
          </cell>
          <cell r="M318">
            <v>6672.611855791838</v>
          </cell>
          <cell r="N318">
            <v>496.07752466809023</v>
          </cell>
          <cell r="O318">
            <v>7517.6125101982943</v>
          </cell>
          <cell r="P318">
            <v>532.33125388278813</v>
          </cell>
          <cell r="Q318">
            <v>1.1229310319991317</v>
          </cell>
        </row>
        <row r="319">
          <cell r="A319">
            <v>9085</v>
          </cell>
          <cell r="B319" t="str">
            <v>pilotED Schools</v>
          </cell>
          <cell r="C319">
            <v>72</v>
          </cell>
          <cell r="D319">
            <v>3.8091811847611591E-4</v>
          </cell>
          <cell r="E319">
            <v>11586.103135358195</v>
          </cell>
          <cell r="F319">
            <v>10921.337366924739</v>
          </cell>
          <cell r="G319">
            <v>185</v>
          </cell>
          <cell r="H319">
            <v>1.6119166822049625E-4</v>
          </cell>
          <cell r="I319">
            <v>1225.7117750361156</v>
          </cell>
          <cell r="J319">
            <v>963.31579211374856</v>
          </cell>
          <cell r="K319">
            <v>24696.468069432798</v>
          </cell>
          <cell r="M319">
            <v>11279.89147050525</v>
          </cell>
          <cell r="N319">
            <v>1045.0699853007768</v>
          </cell>
          <cell r="O319">
            <v>11227.549031777684</v>
          </cell>
          <cell r="P319">
            <v>1143.9575818490871</v>
          </cell>
          <cell r="Q319">
            <v>1.0037764952034651</v>
          </cell>
        </row>
        <row r="320">
          <cell r="A320">
            <v>9090</v>
          </cell>
          <cell r="B320" t="str">
            <v xml:space="preserve">Matchbook Learning  </v>
          </cell>
          <cell r="C320">
            <v>344</v>
          </cell>
          <cell r="D320">
            <v>1.8199421216081094E-3</v>
          </cell>
          <cell r="E320">
            <v>55355.826091155825</v>
          </cell>
          <cell r="F320">
            <v>47658.382805678906</v>
          </cell>
          <cell r="G320">
            <v>612</v>
          </cell>
          <cell r="H320">
            <v>5.3323946459969576E-4</v>
          </cell>
          <cell r="I320">
            <v>4054.7870612005559</v>
          </cell>
          <cell r="J320">
            <v>3375.1367685965351</v>
          </cell>
          <cell r="K320">
            <v>110444.13272663181</v>
          </cell>
          <cell r="M320">
            <v>48455.87180991692</v>
          </cell>
          <cell r="N320">
            <v>3750.346086490762</v>
          </cell>
          <cell r="O320">
            <v>54558.337086917803</v>
          </cell>
          <cell r="P320">
            <v>3679.5777433063295</v>
          </cell>
          <cell r="Q320">
            <v>1.1155359874140871</v>
          </cell>
        </row>
        <row r="321">
          <cell r="A321">
            <v>9095</v>
          </cell>
          <cell r="B321" t="str">
            <v>Urban ACT Academy</v>
          </cell>
          <cell r="C321">
            <v>155</v>
          </cell>
          <cell r="D321">
            <v>8.200320606083051E-4</v>
          </cell>
          <cell r="E321">
            <v>24942.305360840561</v>
          </cell>
          <cell r="F321">
            <v>25521.747747191355</v>
          </cell>
          <cell r="G321">
            <v>326</v>
          </cell>
          <cell r="H321">
            <v>2.8404585859395556E-4</v>
          </cell>
          <cell r="I321">
            <v>2159.902911685263</v>
          </cell>
          <cell r="J321">
            <v>2053.6546475587388</v>
          </cell>
          <cell r="K321">
            <v>54677.61066727592</v>
          </cell>
          <cell r="M321">
            <v>25896.08886890642</v>
          </cell>
          <cell r="N321">
            <v>2281.9566134732149</v>
          </cell>
          <cell r="O321">
            <v>24567.9642391255</v>
          </cell>
          <cell r="P321">
            <v>1931.6009457707869</v>
          </cell>
          <cell r="Q321">
            <v>0.94043304747545609</v>
          </cell>
        </row>
        <row r="322">
          <cell r="A322">
            <v>9115</v>
          </cell>
          <cell r="B322" t="str">
            <v>Kindezi Academy</v>
          </cell>
          <cell r="C322">
            <v>200</v>
          </cell>
          <cell r="D322">
            <v>1.0581058846558776E-3</v>
          </cell>
          <cell r="E322">
            <v>32183.619820439431</v>
          </cell>
          <cell r="F322">
            <v>11956.15775665269</v>
          </cell>
          <cell r="G322">
            <v>429</v>
          </cell>
          <cell r="H322">
            <v>3.7379040900861028E-4</v>
          </cell>
          <cell r="I322">
            <v>2842.3262242729388</v>
          </cell>
          <cell r="J322">
            <v>915.21107001751602</v>
          </cell>
          <cell r="K322">
            <v>47897.314871382579</v>
          </cell>
          <cell r="M322">
            <v>28596.907953393595</v>
          </cell>
          <cell r="N322">
            <v>2434.0870543714291</v>
          </cell>
          <cell r="O322">
            <v>15542.869623698527</v>
          </cell>
          <cell r="P322">
            <v>1323.450239919026</v>
          </cell>
          <cell r="Q322">
            <v>0.54353139045000065</v>
          </cell>
        </row>
        <row r="323">
          <cell r="A323">
            <v>9120</v>
          </cell>
          <cell r="B323" t="str">
            <v>Insight School of Indiana</v>
          </cell>
          <cell r="C323">
            <v>110</v>
          </cell>
          <cell r="D323">
            <v>5.8195823656073263E-4</v>
          </cell>
          <cell r="E323">
            <v>17700.990901241687</v>
          </cell>
          <cell r="F323">
            <v>65.729564724257216</v>
          </cell>
          <cell r="G323">
            <v>853</v>
          </cell>
          <cell r="H323">
            <v>7.4322428644369354E-4</v>
          </cell>
          <cell r="I323">
            <v>5651.5251032746301</v>
          </cell>
          <cell r="J323">
            <v>-0.23808236349577783</v>
          </cell>
          <cell r="K323">
            <v>23418.007486877079</v>
          </cell>
          <cell r="M323">
            <v>15317.413806534174</v>
          </cell>
          <cell r="N323">
            <v>4438.002171667018</v>
          </cell>
          <cell r="O323">
            <v>2449.3066594317697</v>
          </cell>
          <cell r="P323">
            <v>1213.2848492441162</v>
          </cell>
          <cell r="Q323">
            <v>0.18539683055610248</v>
          </cell>
        </row>
        <row r="324">
          <cell r="A324">
            <v>9130</v>
          </cell>
          <cell r="B324" t="str">
            <v>Adelante Schools</v>
          </cell>
          <cell r="C324">
            <v>179</v>
          </cell>
          <cell r="D324">
            <v>9.4700476676701033E-4</v>
          </cell>
          <cell r="E324">
            <v>28804.339739293289</v>
          </cell>
          <cell r="F324">
            <v>118.41172285154244</v>
          </cell>
          <cell r="G324">
            <v>347</v>
          </cell>
          <cell r="H324">
            <v>3.0234329120276866E-4</v>
          </cell>
          <cell r="I324">
            <v>2299.0377618244979</v>
          </cell>
          <cell r="J324">
            <v>-0.10968262816982133</v>
          </cell>
          <cell r="K324">
            <v>31221.67954134116</v>
          </cell>
          <cell r="M324">
            <v>27603.217700279831</v>
          </cell>
          <cell r="N324">
            <v>1937.8998470751692</v>
          </cell>
          <cell r="O324">
            <v>1319.533761865001</v>
          </cell>
          <cell r="P324">
            <v>361.02823212115914</v>
          </cell>
          <cell r="Q324">
            <v>5.6888910559737146E-2</v>
          </cell>
        </row>
        <row r="325">
          <cell r="A325">
            <v>9135</v>
          </cell>
          <cell r="B325" t="str">
            <v>KIPP Indy Legacy High</v>
          </cell>
          <cell r="C325">
            <v>145</v>
          </cell>
          <cell r="D325">
            <v>7.6712676637551115E-4</v>
          </cell>
          <cell r="E325">
            <v>23333.124369818586</v>
          </cell>
          <cell r="F325">
            <v>10188.364532741181</v>
          </cell>
          <cell r="G325">
            <v>260</v>
          </cell>
          <cell r="H325">
            <v>2.2653964182340014E-4</v>
          </cell>
          <cell r="I325">
            <v>1722.621954104811</v>
          </cell>
          <cell r="J325">
            <v>782.59380084366035</v>
          </cell>
          <cell r="K325">
            <v>36026.704657508235</v>
          </cell>
          <cell r="M325">
            <v>20991.640870689873</v>
          </cell>
          <cell r="N325">
            <v>1609.3896752904775</v>
          </cell>
          <cell r="O325">
            <v>12529.848031869893</v>
          </cell>
          <cell r="P325">
            <v>895.82607965799389</v>
          </cell>
          <cell r="Q325">
            <v>0.59402928924918774</v>
          </cell>
        </row>
        <row r="326">
          <cell r="A326">
            <v>9140</v>
          </cell>
          <cell r="B326" t="str">
            <v>BELIEVE Circle City High School</v>
          </cell>
          <cell r="C326">
            <v>28</v>
          </cell>
          <cell r="D326">
            <v>1.4813482385182285E-4</v>
          </cell>
          <cell r="E326">
            <v>4505.70677486152</v>
          </cell>
          <cell r="G326">
            <v>54</v>
          </cell>
          <cell r="H326">
            <v>4.7050540994090798E-5</v>
          </cell>
          <cell r="I326">
            <v>357.77532892946078</v>
          </cell>
          <cell r="K326">
            <v>4863.4821037909805</v>
          </cell>
          <cell r="M326">
            <v>0</v>
          </cell>
          <cell r="N326">
            <v>0</v>
          </cell>
          <cell r="O326">
            <v>4505.70677486152</v>
          </cell>
          <cell r="P326">
            <v>357.77532892946078</v>
          </cell>
          <cell r="Q326" t="e">
            <v>#DIV/0!</v>
          </cell>
        </row>
        <row r="327">
          <cell r="A327">
            <v>9145</v>
          </cell>
          <cell r="B327" t="str">
            <v>Riverside High School</v>
          </cell>
          <cell r="C327">
            <v>112</v>
          </cell>
          <cell r="D327">
            <v>5.925392954072914E-4</v>
          </cell>
          <cell r="E327">
            <v>18022.82709944608</v>
          </cell>
          <cell r="F327">
            <v>6538.3084851707572</v>
          </cell>
          <cell r="G327">
            <v>345</v>
          </cell>
          <cell r="H327">
            <v>3.0060067857335787E-4</v>
          </cell>
          <cell r="I327">
            <v>2285.7868237159992</v>
          </cell>
          <cell r="J327">
            <v>839.27022631013779</v>
          </cell>
          <cell r="K327">
            <v>27686.192634642975</v>
          </cell>
          <cell r="M327">
            <v>13027.480289879304</v>
          </cell>
          <cell r="N327">
            <v>1858.6371257564447</v>
          </cell>
          <cell r="O327">
            <v>11533.655294737533</v>
          </cell>
          <cell r="P327">
            <v>1266.4199242696923</v>
          </cell>
          <cell r="Q327">
            <v>0.85986660333355747</v>
          </cell>
        </row>
        <row r="328">
          <cell r="A328">
            <v>9150</v>
          </cell>
          <cell r="B328" t="str">
            <v>Circle City Prep Charter School</v>
          </cell>
          <cell r="C328">
            <v>102</v>
          </cell>
          <cell r="D328">
            <v>5.3963400117449756E-4</v>
          </cell>
          <cell r="E328">
            <v>16413.646108424109</v>
          </cell>
          <cell r="F328">
            <v>8248.3855833422385</v>
          </cell>
          <cell r="G328">
            <v>225</v>
          </cell>
          <cell r="H328">
            <v>1.9604392080871166E-4</v>
          </cell>
          <cell r="I328">
            <v>1490.7305372060864</v>
          </cell>
          <cell r="J328">
            <v>536.74279079546056</v>
          </cell>
          <cell r="K328">
            <v>26689.505019767894</v>
          </cell>
          <cell r="M328">
            <v>12391.993446470557</v>
          </cell>
          <cell r="N328">
            <v>1131.0567562432457</v>
          </cell>
          <cell r="O328">
            <v>12270.038245295791</v>
          </cell>
          <cell r="P328">
            <v>896.41657175830142</v>
          </cell>
          <cell r="Q328">
            <v>0.97363055077706151</v>
          </cell>
        </row>
        <row r="329">
          <cell r="A329">
            <v>9160</v>
          </cell>
          <cell r="B329" t="str">
            <v>Excel Center - Muncie</v>
          </cell>
          <cell r="C329">
            <v>15</v>
          </cell>
          <cell r="D329">
            <v>7.935794134919081E-5</v>
          </cell>
          <cell r="E329">
            <v>2413.7714865329572</v>
          </cell>
          <cell r="F329">
            <v>911.61299688597842</v>
          </cell>
          <cell r="G329">
            <v>24</v>
          </cell>
          <cell r="H329">
            <v>2.0911351552929244E-5</v>
          </cell>
          <cell r="I329">
            <v>159.01125730198257</v>
          </cell>
          <cell r="J329">
            <v>125.00506550357539</v>
          </cell>
          <cell r="K329">
            <v>3609.4008062244934</v>
          </cell>
          <cell r="M329">
            <v>953.2302651131198</v>
          </cell>
          <cell r="N329">
            <v>138.90170690706526</v>
          </cell>
          <cell r="O329">
            <v>2372.1542183058159</v>
          </cell>
          <cell r="P329">
            <v>145.11461589849267</v>
          </cell>
          <cell r="Q329">
            <v>2.304912683352689</v>
          </cell>
        </row>
        <row r="330">
          <cell r="A330">
            <v>9165</v>
          </cell>
          <cell r="B330" t="str">
            <v>Paramount Englewood</v>
          </cell>
          <cell r="C330">
            <v>78</v>
          </cell>
          <cell r="D330">
            <v>4.1266129501579222E-4</v>
          </cell>
          <cell r="E330">
            <v>12551.611729971377</v>
          </cell>
          <cell r="F330">
            <v>7341.6156191811451</v>
          </cell>
          <cell r="G330">
            <v>187</v>
          </cell>
          <cell r="H330">
            <v>1.6293428084990702E-4</v>
          </cell>
          <cell r="I330">
            <v>1238.9627131446141</v>
          </cell>
          <cell r="J330">
            <v>669.90029352217323</v>
          </cell>
          <cell r="K330">
            <v>21802.090355819309</v>
          </cell>
          <cell r="M330">
            <v>15126.32945093829</v>
          </cell>
          <cell r="N330">
            <v>1377.6375620486488</v>
          </cell>
          <cell r="O330">
            <v>4766.8978982142326</v>
          </cell>
          <cell r="P330">
            <v>531.22544461813868</v>
          </cell>
          <cell r="Q330">
            <v>0.32102120288190639</v>
          </cell>
        </row>
        <row r="331">
          <cell r="A331">
            <v>9170</v>
          </cell>
          <cell r="B331" t="str">
            <v>Rooted School Indianapolis</v>
          </cell>
          <cell r="C331">
            <v>25</v>
          </cell>
          <cell r="D331">
            <v>1.322632355819847E-4</v>
          </cell>
          <cell r="E331">
            <v>4022.9524775549289</v>
          </cell>
          <cell r="G331">
            <v>58</v>
          </cell>
          <cell r="H331">
            <v>5.0535766252912341E-5</v>
          </cell>
          <cell r="I331">
            <v>384.27720514645785</v>
          </cell>
          <cell r="K331">
            <v>4407.229682701387</v>
          </cell>
          <cell r="M331">
            <v>0</v>
          </cell>
          <cell r="N331">
            <v>0</v>
          </cell>
          <cell r="O331">
            <v>4022.9524775549289</v>
          </cell>
          <cell r="P331">
            <v>384.27720514645785</v>
          </cell>
          <cell r="Q331" t="e">
            <v>#DIV/0!</v>
          </cell>
        </row>
        <row r="332">
          <cell r="A332">
            <v>9195</v>
          </cell>
          <cell r="B332" t="str">
            <v xml:space="preserve">Timothy L. Johnson Academy Middle </v>
          </cell>
          <cell r="C332">
            <v>48</v>
          </cell>
          <cell r="D332">
            <v>2.5394541231741062E-4</v>
          </cell>
          <cell r="E332">
            <v>7724.0687569054644</v>
          </cell>
          <cell r="F332">
            <v>5594.2275599797285</v>
          </cell>
          <cell r="G332">
            <v>119</v>
          </cell>
          <cell r="H332">
            <v>1.0368545144994083E-4</v>
          </cell>
          <cell r="I332">
            <v>788.43081745566349</v>
          </cell>
          <cell r="J332">
            <v>578.13236368591447</v>
          </cell>
          <cell r="K332">
            <v>14684.85949802677</v>
          </cell>
          <cell r="M332">
            <v>5878.2533015309045</v>
          </cell>
          <cell r="N332">
            <v>628.36486457958097</v>
          </cell>
          <cell r="O332">
            <v>7440.0430153542884</v>
          </cell>
          <cell r="P332">
            <v>738.19831656199688</v>
          </cell>
          <cell r="Q332">
            <v>1.2569112130341988</v>
          </cell>
        </row>
        <row r="333">
          <cell r="A333">
            <v>9305</v>
          </cell>
          <cell r="B333" t="str">
            <v>Excel Center - Richmond</v>
          </cell>
          <cell r="C333">
            <v>13</v>
          </cell>
          <cell r="D333">
            <v>6.8776882502632041E-5</v>
          </cell>
          <cell r="E333">
            <v>2091.9352883285633</v>
          </cell>
          <cell r="F333">
            <v>10.94619073977492</v>
          </cell>
          <cell r="G333">
            <v>52</v>
          </cell>
          <cell r="H333">
            <v>4.5307928364680031E-5</v>
          </cell>
          <cell r="I333">
            <v>344.52439082096225</v>
          </cell>
          <cell r="J333">
            <v>-2.4213723706282053E-2</v>
          </cell>
          <cell r="K333">
            <v>2447.381656165594</v>
          </cell>
          <cell r="M333">
            <v>2552.8935643747609</v>
          </cell>
          <cell r="N333">
            <v>443.13837497978761</v>
          </cell>
          <cell r="O333">
            <v>-450.0120853064227</v>
          </cell>
          <cell r="P333">
            <v>-98.638197882531642</v>
          </cell>
          <cell r="Q333">
            <v>-0.18312564561883574</v>
          </cell>
        </row>
        <row r="334">
          <cell r="A334">
            <v>9310</v>
          </cell>
          <cell r="B334" t="str">
            <v>Charter School of the Dunes</v>
          </cell>
          <cell r="C334">
            <v>437</v>
          </cell>
          <cell r="D334">
            <v>2.3119613579730925E-3</v>
          </cell>
          <cell r="E334">
            <v>70321.20930766016</v>
          </cell>
          <cell r="F334">
            <v>222.3806513227828</v>
          </cell>
          <cell r="G334">
            <v>657</v>
          </cell>
          <cell r="H334">
            <v>5.7244824876143802E-4</v>
          </cell>
          <cell r="I334">
            <v>4352.9331686417727</v>
          </cell>
          <cell r="J334">
            <v>-0.20963144880715845</v>
          </cell>
          <cell r="K334">
            <v>74896.313496175921</v>
          </cell>
          <cell r="M334">
            <v>51855.68667828344</v>
          </cell>
          <cell r="N334">
            <v>3988.2536668826378</v>
          </cell>
          <cell r="O334">
            <v>18687.903280699509</v>
          </cell>
          <cell r="P334">
            <v>364.46987031032768</v>
          </cell>
          <cell r="Q334">
            <v>0.34117171949631298</v>
          </cell>
        </row>
        <row r="335">
          <cell r="A335">
            <v>9315</v>
          </cell>
          <cell r="B335" t="str">
            <v>Signature School Inc</v>
          </cell>
          <cell r="C335">
            <v>20</v>
          </cell>
          <cell r="D335">
            <v>1.0581058846558775E-4</v>
          </cell>
          <cell r="E335">
            <v>3218.361982043943</v>
          </cell>
          <cell r="F335">
            <v>13.683642222747494</v>
          </cell>
          <cell r="G335">
            <v>376</v>
          </cell>
          <cell r="H335">
            <v>3.2761117432922483E-4</v>
          </cell>
          <cell r="I335">
            <v>2491.176364397727</v>
          </cell>
          <cell r="J335">
            <v>-0.12907365990440667</v>
          </cell>
          <cell r="K335">
            <v>5723.092915004514</v>
          </cell>
          <cell r="M335">
            <v>3191.1178592664801</v>
          </cell>
          <cell r="N335">
            <v>2453.8010816982487</v>
          </cell>
          <cell r="O335">
            <v>40.927765000210456</v>
          </cell>
          <cell r="P335">
            <v>37.246209039573841</v>
          </cell>
          <cell r="Q335">
            <v>1.3848555640450738E-2</v>
          </cell>
        </row>
        <row r="336">
          <cell r="A336">
            <v>9320</v>
          </cell>
          <cell r="B336" t="str">
            <v>Community Montessori Inc</v>
          </cell>
          <cell r="C336">
            <v>39</v>
          </cell>
          <cell r="D336">
            <v>2.0633064750789611E-4</v>
          </cell>
          <cell r="E336">
            <v>6275.8058649856885</v>
          </cell>
          <cell r="F336">
            <v>24.629832962520595</v>
          </cell>
          <cell r="G336">
            <v>530</v>
          </cell>
          <cell r="H336">
            <v>4.6179234679385414E-4</v>
          </cell>
          <cell r="I336">
            <v>3511.498598752115</v>
          </cell>
          <cell r="J336">
            <v>-0.1890527472978647</v>
          </cell>
          <cell r="K336">
            <v>9811.745243953028</v>
          </cell>
          <cell r="M336">
            <v>5744.0114236412392</v>
          </cell>
          <cell r="N336">
            <v>3538.4972898850792</v>
          </cell>
          <cell r="O336">
            <v>556.42427430696989</v>
          </cell>
          <cell r="P336">
            <v>-27.187743880262133</v>
          </cell>
          <cell r="Q336">
            <v>5.7014385524412493E-2</v>
          </cell>
        </row>
        <row r="337">
          <cell r="A337">
            <v>9325</v>
          </cell>
          <cell r="B337" t="str">
            <v>Options Charter Schools</v>
          </cell>
          <cell r="C337">
            <v>11</v>
          </cell>
          <cell r="D337">
            <v>5.8195823656073265E-5</v>
          </cell>
          <cell r="E337">
            <v>1770.0990901241687</v>
          </cell>
          <cell r="F337">
            <v>8.8919723800109995</v>
          </cell>
          <cell r="G337">
            <v>427</v>
          </cell>
          <cell r="H337">
            <v>3.7204779637919948E-4</v>
          </cell>
          <cell r="I337">
            <v>2829.0752861644401</v>
          </cell>
          <cell r="J337">
            <v>-9.8545497859277104E-2</v>
          </cell>
          <cell r="K337">
            <v>4607.9678031707608</v>
          </cell>
          <cell r="M337">
            <v>2074.2242134584371</v>
          </cell>
          <cell r="N337">
            <v>1918.0678832187559</v>
          </cell>
          <cell r="O337">
            <v>-295.23315095425733</v>
          </cell>
          <cell r="P337">
            <v>910.90885744782463</v>
          </cell>
          <cell r="Q337">
            <v>0.15421609731562419</v>
          </cell>
        </row>
        <row r="338">
          <cell r="A338">
            <v>9330</v>
          </cell>
          <cell r="B338" t="str">
            <v>Irvington Community School</v>
          </cell>
          <cell r="C338">
            <v>340</v>
          </cell>
          <cell r="D338">
            <v>1.7987800039149919E-3</v>
          </cell>
          <cell r="E338">
            <v>54712.153694747038</v>
          </cell>
          <cell r="F338">
            <v>208.69249010989734</v>
          </cell>
          <cell r="G338">
            <v>1007</v>
          </cell>
          <cell r="H338">
            <v>8.7740545890832285E-4</v>
          </cell>
          <cell r="I338">
            <v>6671.8473376290185</v>
          </cell>
          <cell r="J338">
            <v>-0.33883755128135817</v>
          </cell>
          <cell r="K338">
            <v>61592.354684934675</v>
          </cell>
          <cell r="M338">
            <v>48664.564300026817</v>
          </cell>
          <cell r="N338">
            <v>6303.1529092312512</v>
          </cell>
          <cell r="O338">
            <v>6256.2818848301176</v>
          </cell>
          <cell r="P338">
            <v>368.35559084648594</v>
          </cell>
          <cell r="Q338">
            <v>0.12051869373539918</v>
          </cell>
        </row>
        <row r="339">
          <cell r="A339">
            <v>9335</v>
          </cell>
          <cell r="B339" t="str">
            <v>Excel Center - Lafayette Square</v>
          </cell>
          <cell r="C339">
            <v>3</v>
          </cell>
          <cell r="D339">
            <v>1.5871588269838164E-5</v>
          </cell>
          <cell r="E339">
            <v>482.75429730659152</v>
          </cell>
          <cell r="F339">
            <v>9.0379802782081242E-4</v>
          </cell>
          <cell r="G339">
            <v>19</v>
          </cell>
          <cell r="H339">
            <v>1.6554819979402318E-5</v>
          </cell>
          <cell r="I339">
            <v>125.8839120307362</v>
          </cell>
          <cell r="J339">
            <v>-2.5412462496632315E-3</v>
          </cell>
          <cell r="K339">
            <v>608.63657188910588</v>
          </cell>
          <cell r="M339">
            <v>9.0379802782081242E-4</v>
          </cell>
          <cell r="N339">
            <v>39.683660727197548</v>
          </cell>
          <cell r="O339">
            <v>482.75429730659152</v>
          </cell>
          <cell r="P339">
            <v>86.197710057288987</v>
          </cell>
          <cell r="Q339">
            <v>14.336859032489269</v>
          </cell>
        </row>
        <row r="340">
          <cell r="A340">
            <v>9345</v>
          </cell>
          <cell r="B340" t="str">
            <v>Excel Center - Lafayette</v>
          </cell>
          <cell r="C340">
            <v>28</v>
          </cell>
          <cell r="D340">
            <v>1.4813482385182285E-4</v>
          </cell>
          <cell r="E340">
            <v>4505.70677486152</v>
          </cell>
          <cell r="F340">
            <v>13.680027030635301</v>
          </cell>
          <cell r="G340">
            <v>127</v>
          </cell>
          <cell r="H340">
            <v>1.1065590196758392E-4</v>
          </cell>
          <cell r="I340">
            <v>841.43456988965772</v>
          </cell>
          <cell r="J340">
            <v>-3.1318247021431489E-2</v>
          </cell>
          <cell r="K340">
            <v>5360.7900535347908</v>
          </cell>
          <cell r="M340">
            <v>3191.1142440743679</v>
          </cell>
          <cell r="N340">
            <v>634.94791332813395</v>
          </cell>
          <cell r="O340">
            <v>1328.2725578177869</v>
          </cell>
          <cell r="P340">
            <v>206.45533831450234</v>
          </cell>
          <cell r="Q340">
            <v>0.40112466368664795</v>
          </cell>
        </row>
        <row r="341">
          <cell r="A341">
            <v>9350</v>
          </cell>
          <cell r="B341" t="str">
            <v>Timothy L Johnson Academy</v>
          </cell>
          <cell r="C341">
            <v>157</v>
          </cell>
          <cell r="D341">
            <v>8.3061311945486387E-4</v>
          </cell>
          <cell r="E341">
            <v>25264.141559044954</v>
          </cell>
          <cell r="F341">
            <v>101.94182405231913</v>
          </cell>
          <cell r="G341">
            <v>363</v>
          </cell>
          <cell r="H341">
            <v>3.162841922380548E-4</v>
          </cell>
          <cell r="I341">
            <v>2405.0452666924862</v>
          </cell>
          <cell r="J341">
            <v>-0.11099205712071125</v>
          </cell>
          <cell r="K341">
            <v>27771.017657732638</v>
          </cell>
          <cell r="M341">
            <v>23773.826741028126</v>
          </cell>
          <cell r="N341">
            <v>2090.0289785444329</v>
          </cell>
          <cell r="O341">
            <v>1592.2566420691473</v>
          </cell>
          <cell r="P341">
            <v>314.90529609093255</v>
          </cell>
          <cell r="Q341">
            <v>7.3738500509683433E-2</v>
          </cell>
        </row>
        <row r="342">
          <cell r="A342">
            <v>9355</v>
          </cell>
          <cell r="B342" t="str">
            <v>Excel Center - Kokomo</v>
          </cell>
          <cell r="C342">
            <v>17</v>
          </cell>
          <cell r="D342">
            <v>8.9939000195749593E-5</v>
          </cell>
          <cell r="E342">
            <v>2735.6076847373515</v>
          </cell>
          <cell r="F342">
            <v>15.730630198287145</v>
          </cell>
          <cell r="G342">
            <v>64</v>
          </cell>
          <cell r="H342">
            <v>5.5763604141144651E-5</v>
          </cell>
          <cell r="I342">
            <v>424.03001947195349</v>
          </cell>
          <cell r="J342">
            <v>-2.5014749159254279E-2</v>
          </cell>
          <cell r="K342">
            <v>3175.3433196584328</v>
          </cell>
          <cell r="M342">
            <v>3669.7799797985795</v>
          </cell>
          <cell r="N342">
            <v>436.52320695876011</v>
          </cell>
          <cell r="O342">
            <v>-918.4416648629408</v>
          </cell>
          <cell r="P342">
            <v>-12.518202235965873</v>
          </cell>
          <cell r="Q342">
            <v>-0.22671483929905961</v>
          </cell>
        </row>
        <row r="343">
          <cell r="A343">
            <v>9365</v>
          </cell>
          <cell r="B343" t="str">
            <v>Enlace Academy</v>
          </cell>
          <cell r="C343">
            <v>287</v>
          </cell>
          <cell r="D343">
            <v>1.5183819444811843E-3</v>
          </cell>
          <cell r="E343">
            <v>46183.494442330586</v>
          </cell>
          <cell r="F343">
            <v>9128.1412789335955</v>
          </cell>
          <cell r="G343">
            <v>569</v>
          </cell>
          <cell r="H343">
            <v>4.9577329306736413E-4</v>
          </cell>
          <cell r="I343">
            <v>3769.8918918678364</v>
          </cell>
          <cell r="J343">
            <v>380.81684607526449</v>
          </cell>
          <cell r="K343">
            <v>59462.344459207285</v>
          </cell>
          <cell r="M343">
            <v>42418.74679753383</v>
          </cell>
          <cell r="N343">
            <v>3247.6541948270974</v>
          </cell>
          <cell r="O343">
            <v>12892.888923730352</v>
          </cell>
          <cell r="P343">
            <v>903.05454311600397</v>
          </cell>
          <cell r="Q343">
            <v>0.30210270936731232</v>
          </cell>
        </row>
        <row r="344">
          <cell r="A344">
            <v>9380</v>
          </cell>
          <cell r="B344" t="str">
            <v>Christel House Academy South</v>
          </cell>
          <cell r="C344">
            <v>293</v>
          </cell>
          <cell r="D344">
            <v>1.5501251210208605E-3</v>
          </cell>
          <cell r="E344">
            <v>47149.003036943766</v>
          </cell>
          <cell r="F344">
            <v>218.96538950477407</v>
          </cell>
          <cell r="G344">
            <v>649</v>
          </cell>
          <cell r="H344">
            <v>5.6547779824379495E-4</v>
          </cell>
          <cell r="I344">
            <v>4299.9294162077786</v>
          </cell>
          <cell r="J344">
            <v>-0.2266356863551664</v>
          </cell>
          <cell r="K344">
            <v>51667.671206969964</v>
          </cell>
          <cell r="M344">
            <v>51057.912862204495</v>
          </cell>
          <cell r="N344">
            <v>4239.5826084769233</v>
          </cell>
          <cell r="O344">
            <v>-3689.9444357559551</v>
          </cell>
          <cell r="P344">
            <v>60.120172044500578</v>
          </cell>
          <cell r="Q344">
            <v>-6.5641748017972665E-2</v>
          </cell>
        </row>
        <row r="345">
          <cell r="A345">
            <v>9385</v>
          </cell>
          <cell r="B345" t="str">
            <v>Christel House DORS</v>
          </cell>
          <cell r="C345">
            <v>2</v>
          </cell>
          <cell r="D345">
            <v>1.0581058846558774E-5</v>
          </cell>
          <cell r="E345">
            <v>321.83619820439429</v>
          </cell>
          <cell r="F345">
            <v>1.368273842471865</v>
          </cell>
          <cell r="G345">
            <v>5</v>
          </cell>
          <cell r="H345">
            <v>4.3565315735269263E-6</v>
          </cell>
          <cell r="I345">
            <v>33.127345271246369</v>
          </cell>
          <cell r="J345">
            <v>5.9527646113352191</v>
          </cell>
          <cell r="K345">
            <v>362.28458192944777</v>
          </cell>
          <cell r="M345">
            <v>319.11169554684511</v>
          </cell>
          <cell r="N345">
            <v>52.253333580356973</v>
          </cell>
          <cell r="O345">
            <v>4.0927765000210456</v>
          </cell>
          <cell r="P345">
            <v>-13.173223697775384</v>
          </cell>
          <cell r="Q345">
            <v>-2.4451540897901972E-2</v>
          </cell>
        </row>
        <row r="346">
          <cell r="A346">
            <v>9395</v>
          </cell>
          <cell r="B346" t="str">
            <v>Christel House Academy West</v>
          </cell>
          <cell r="C346">
            <v>225</v>
          </cell>
          <cell r="D346">
            <v>1.1903691202378621E-3</v>
          </cell>
          <cell r="E346">
            <v>36206.57229799436</v>
          </cell>
          <cell r="F346">
            <v>8809.73706959009</v>
          </cell>
          <cell r="G346">
            <v>488</v>
          </cell>
          <cell r="H346">
            <v>4.2519748157622799E-4</v>
          </cell>
          <cell r="I346">
            <v>3233.2288984736456</v>
          </cell>
          <cell r="J346">
            <v>696.66464498234109</v>
          </cell>
          <cell r="K346">
            <v>48946.202911040433</v>
          </cell>
          <cell r="M346">
            <v>35905.006652594173</v>
          </cell>
          <cell r="N346">
            <v>2883.8640100704979</v>
          </cell>
          <cell r="O346">
            <v>9111.3027149902773</v>
          </cell>
          <cell r="P346">
            <v>1046.0295333854888</v>
          </cell>
          <cell r="Q346">
            <v>0.26186202575246587</v>
          </cell>
        </row>
        <row r="347">
          <cell r="A347">
            <v>9400</v>
          </cell>
          <cell r="B347" t="str">
            <v>KIPP Indy College Prep Middle</v>
          </cell>
          <cell r="C347">
            <v>149</v>
          </cell>
          <cell r="D347">
            <v>7.8828888406862879E-4</v>
          </cell>
          <cell r="E347">
            <v>23976.796766227377</v>
          </cell>
          <cell r="F347">
            <v>107.4275725945954</v>
          </cell>
          <cell r="G347">
            <v>294</v>
          </cell>
          <cell r="H347">
            <v>2.5616405652338327E-4</v>
          </cell>
          <cell r="I347">
            <v>1947.8879019492867</v>
          </cell>
          <cell r="J347">
            <v>-0.1042356293805824</v>
          </cell>
          <cell r="K347">
            <v>26032.008005141877</v>
          </cell>
          <cell r="M347">
            <v>25050.286176387894</v>
          </cell>
          <cell r="N347">
            <v>1957.7483950606822</v>
          </cell>
          <cell r="O347">
            <v>-966.06183756592145</v>
          </cell>
          <cell r="P347">
            <v>-9.9647287407760814</v>
          </cell>
          <cell r="Q347">
            <v>-3.6138378145387139E-2</v>
          </cell>
        </row>
        <row r="348">
          <cell r="A348">
            <v>9410</v>
          </cell>
          <cell r="B348" t="str">
            <v>KIPP Indy Unite Elementary</v>
          </cell>
          <cell r="C348">
            <v>340</v>
          </cell>
          <cell r="D348">
            <v>1.7987800039149919E-3</v>
          </cell>
          <cell r="E348">
            <v>54712.153694747038</v>
          </cell>
          <cell r="F348">
            <v>23228.72891836179</v>
          </cell>
          <cell r="G348">
            <v>626</v>
          </cell>
          <cell r="H348">
            <v>5.4543775300557116E-4</v>
          </cell>
          <cell r="I348">
            <v>4147.5436279600453</v>
          </cell>
          <cell r="J348">
            <v>1405.014090380153</v>
          </cell>
          <cell r="K348">
            <v>83493.440331449019</v>
          </cell>
          <cell r="M348">
            <v>55605.098798265324</v>
          </cell>
          <cell r="N348">
            <v>4140.5937392296601</v>
          </cell>
          <cell r="O348">
            <v>22335.783814843504</v>
          </cell>
          <cell r="P348">
            <v>1411.9639791105383</v>
          </cell>
          <cell r="Q348">
            <v>0.39748050085871067</v>
          </cell>
        </row>
        <row r="349">
          <cell r="A349">
            <v>9425</v>
          </cell>
          <cell r="B349" t="str">
            <v>Tindley Genesis Academy</v>
          </cell>
          <cell r="C349">
            <v>198</v>
          </cell>
          <cell r="D349">
            <v>1.0475248258093187E-3</v>
          </cell>
          <cell r="E349">
            <v>31861.783622235034</v>
          </cell>
          <cell r="F349">
            <v>19686.439369530381</v>
          </cell>
          <cell r="G349">
            <v>446</v>
          </cell>
          <cell r="H349">
            <v>3.8860261635860179E-4</v>
          </cell>
          <cell r="I349">
            <v>2954.9591981951762</v>
          </cell>
          <cell r="J349">
            <v>1640.2374907794729</v>
          </cell>
          <cell r="K349">
            <v>56143.419680740066</v>
          </cell>
          <cell r="M349">
            <v>54161.600624454877</v>
          </cell>
          <cell r="N349">
            <v>4768.8330796862283</v>
          </cell>
          <cell r="O349">
            <v>-2613.3776326894586</v>
          </cell>
          <cell r="P349">
            <v>-173.63639071157922</v>
          </cell>
          <cell r="Q349">
            <v>-4.7293288852974985E-2</v>
          </cell>
        </row>
        <row r="350">
          <cell r="A350">
            <v>9430</v>
          </cell>
          <cell r="B350" t="str">
            <v>Tindley Summit Academy</v>
          </cell>
          <cell r="C350">
            <v>119</v>
          </cell>
          <cell r="D350">
            <v>6.2957300137024715E-4</v>
          </cell>
          <cell r="E350">
            <v>19149.253793161461</v>
          </cell>
          <cell r="F350">
            <v>4717.9000539767767</v>
          </cell>
          <cell r="G350">
            <v>267</v>
          </cell>
          <cell r="H350">
            <v>2.3263878602633784E-4</v>
          </cell>
          <cell r="I350">
            <v>1769.000237484556</v>
          </cell>
          <cell r="J350">
            <v>269.11834608474351</v>
          </cell>
          <cell r="K350">
            <v>25905.272430707537</v>
          </cell>
          <cell r="M350">
            <v>26642.196151578533</v>
          </cell>
          <cell r="N350">
            <v>2273.271545743828</v>
          </cell>
          <cell r="O350">
            <v>-2775.042304440296</v>
          </cell>
          <cell r="P350">
            <v>-235.15296217452851</v>
          </cell>
          <cell r="Q350">
            <v>-0.10410328818210939</v>
          </cell>
        </row>
        <row r="351">
          <cell r="A351">
            <v>9445</v>
          </cell>
          <cell r="B351" t="str">
            <v>Charles A Tindley Accelerated Sch</v>
          </cell>
          <cell r="C351">
            <v>135</v>
          </cell>
          <cell r="D351">
            <v>7.142214721427173E-4</v>
          </cell>
          <cell r="E351">
            <v>21723.943378796615</v>
          </cell>
          <cell r="F351">
            <v>10234.23424319299</v>
          </cell>
          <cell r="G351">
            <v>365</v>
          </cell>
          <cell r="H351">
            <v>3.180268048674656E-4</v>
          </cell>
          <cell r="I351">
            <v>2418.2962048009849</v>
          </cell>
          <cell r="J351">
            <v>744.94674644879615</v>
          </cell>
          <cell r="K351">
            <v>35121.420573239389</v>
          </cell>
          <cell r="M351">
            <v>31681.915208238184</v>
          </cell>
          <cell r="N351">
            <v>2940.9165889795422</v>
          </cell>
          <cell r="O351">
            <v>276.26241375142126</v>
          </cell>
          <cell r="P351">
            <v>222.32636227023886</v>
          </cell>
          <cell r="Q351">
            <v>1.4400577599828981E-2</v>
          </cell>
        </row>
        <row r="352">
          <cell r="A352">
            <v>9460</v>
          </cell>
          <cell r="B352" t="str">
            <v>Thea Bowman Leadership Academy</v>
          </cell>
          <cell r="C352">
            <v>736</v>
          </cell>
          <cell r="D352">
            <v>3.8938296555336292E-3</v>
          </cell>
          <cell r="E352">
            <v>118435.72093921711</v>
          </cell>
          <cell r="F352">
            <v>416.61679008198553</v>
          </cell>
          <cell r="G352">
            <v>1052</v>
          </cell>
          <cell r="H352">
            <v>9.1661424307006522E-4</v>
          </cell>
          <cell r="I352">
            <v>6969.9934450702358</v>
          </cell>
          <cell r="J352">
            <v>-0.37300086406321498</v>
          </cell>
          <cell r="K352">
            <v>125821.95817350526</v>
          </cell>
          <cell r="M352">
            <v>97169.488699063644</v>
          </cell>
          <cell r="N352">
            <v>6957.9410784803486</v>
          </cell>
          <cell r="O352">
            <v>21682.849030235448</v>
          </cell>
          <cell r="P352">
            <v>11.679365725824027</v>
          </cell>
          <cell r="Q352">
            <v>0.20834595113227206</v>
          </cell>
        </row>
        <row r="353">
          <cell r="A353">
            <v>9465</v>
          </cell>
          <cell r="B353" t="str">
            <v>Rural Community Schools Inc</v>
          </cell>
          <cell r="C353">
            <v>29</v>
          </cell>
          <cell r="D353">
            <v>1.5342535327510224E-4</v>
          </cell>
          <cell r="E353">
            <v>4666.6248739637176</v>
          </cell>
          <cell r="F353">
            <v>21.213667346479269</v>
          </cell>
          <cell r="G353">
            <v>95</v>
          </cell>
          <cell r="H353">
            <v>8.2774099897011592E-5</v>
          </cell>
          <cell r="I353">
            <v>629.419560153681</v>
          </cell>
          <cell r="J353">
            <v>-5.2139824182518169E-2</v>
          </cell>
          <cell r="K353">
            <v>5317.2059616396955</v>
          </cell>
          <cell r="M353">
            <v>4946.2367037642643</v>
          </cell>
          <cell r="N353">
            <v>892.88740457837991</v>
          </cell>
          <cell r="O353">
            <v>-258.39816245406746</v>
          </cell>
          <cell r="P353">
            <v>-263.51998424888143</v>
          </cell>
          <cell r="Q353">
            <v>-8.9382951452814427E-2</v>
          </cell>
        </row>
        <row r="354">
          <cell r="A354">
            <v>9485</v>
          </cell>
          <cell r="B354" t="str">
            <v>SE Neighborhood Sch of Excellence</v>
          </cell>
          <cell r="C354">
            <v>329</v>
          </cell>
          <cell r="D354">
            <v>1.7405841802589186E-3</v>
          </cell>
          <cell r="E354">
            <v>52942.054604622863</v>
          </cell>
          <cell r="F354">
            <v>226.47010828372731</v>
          </cell>
          <cell r="G354">
            <v>607</v>
          </cell>
          <cell r="H354">
            <v>5.2888293302616885E-4</v>
          </cell>
          <cell r="I354">
            <v>4021.6597159293096</v>
          </cell>
          <cell r="J354">
            <v>-0.20825026406009783</v>
          </cell>
          <cell r="K354">
            <v>57189.976178571836</v>
          </cell>
          <cell r="M354">
            <v>52813.006400357495</v>
          </cell>
          <cell r="N354">
            <v>3895.6539101293415</v>
          </cell>
          <cell r="O354">
            <v>355.51831254909484</v>
          </cell>
          <cell r="P354">
            <v>125.79755553590803</v>
          </cell>
          <cell r="Q354">
            <v>8.4875196389711874E-3</v>
          </cell>
        </row>
        <row r="355">
          <cell r="A355">
            <v>9495</v>
          </cell>
          <cell r="B355" t="str">
            <v>Joshua Academy</v>
          </cell>
          <cell r="C355">
            <v>92</v>
          </cell>
          <cell r="D355">
            <v>4.8672870694170366E-4</v>
          </cell>
          <cell r="E355">
            <v>14804.465117402138</v>
          </cell>
          <cell r="F355">
            <v>2148.2378251788668</v>
          </cell>
          <cell r="G355">
            <v>242</v>
          </cell>
          <cell r="H355">
            <v>2.1085612815870323E-4</v>
          </cell>
          <cell r="I355">
            <v>1603.3635111283243</v>
          </cell>
          <cell r="J355">
            <v>262.88216843775149</v>
          </cell>
          <cell r="K355">
            <v>18818.94862214708</v>
          </cell>
          <cell r="M355">
            <v>16128.94838017129</v>
          </cell>
          <cell r="N355">
            <v>1863.5589813667891</v>
          </cell>
          <cell r="O355">
            <v>823.75456240971289</v>
          </cell>
          <cell r="P355">
            <v>2.6866981992866386</v>
          </cell>
          <cell r="Q355">
            <v>4.5932523133248936E-2</v>
          </cell>
        </row>
        <row r="356">
          <cell r="A356">
            <v>9505</v>
          </cell>
          <cell r="B356" t="str">
            <v>Indiana Agriculture and Technology</v>
          </cell>
          <cell r="C356">
            <v>8</v>
          </cell>
          <cell r="D356">
            <v>4.2324235386235097E-5</v>
          </cell>
          <cell r="E356">
            <v>1287.3447928175772</v>
          </cell>
          <cell r="F356">
            <v>390.30086545215761</v>
          </cell>
          <cell r="G356">
            <v>165</v>
          </cell>
          <cell r="H356">
            <v>1.4376554192638855E-4</v>
          </cell>
          <cell r="I356">
            <v>1093.20239395113</v>
          </cell>
          <cell r="J356">
            <v>684.55154918624612</v>
          </cell>
          <cell r="K356">
            <v>3455.3996014071108</v>
          </cell>
          <cell r="M356">
            <v>317.74342170437325</v>
          </cell>
          <cell r="N356">
            <v>760.65220449107164</v>
          </cell>
          <cell r="O356">
            <v>1359.9022365653614</v>
          </cell>
          <cell r="P356">
            <v>1017.1017386463045</v>
          </cell>
          <cell r="Q356">
            <v>2.2042040207430009</v>
          </cell>
        </row>
        <row r="357">
          <cell r="A357">
            <v>9535</v>
          </cell>
          <cell r="B357" t="str">
            <v>Gary Lighthouse Charter School</v>
          </cell>
          <cell r="C357">
            <v>930</v>
          </cell>
          <cell r="D357">
            <v>4.9201923636498302E-3</v>
          </cell>
          <cell r="E357">
            <v>149653.83216504334</v>
          </cell>
          <cell r="F357">
            <v>550.24040124966996</v>
          </cell>
          <cell r="G357">
            <v>1334</v>
          </cell>
          <cell r="H357">
            <v>1.1623226238169839E-3</v>
          </cell>
          <cell r="I357">
            <v>8838.375718368532</v>
          </cell>
          <cell r="J357">
            <v>-0.49719622983502632</v>
          </cell>
          <cell r="K357">
            <v>159041.9510884317</v>
          </cell>
          <cell r="M357">
            <v>128283.09592640772</v>
          </cell>
          <cell r="N357">
            <v>9133.9436246585992</v>
          </cell>
          <cell r="O357">
            <v>21920.976639885281</v>
          </cell>
          <cell r="P357">
            <v>-296.06510251990221</v>
          </cell>
          <cell r="Q357">
            <v>0.15736703110482322</v>
          </cell>
        </row>
        <row r="358">
          <cell r="A358">
            <v>9545</v>
          </cell>
          <cell r="B358" t="str">
            <v>21st Century Charter Sch of Gary</v>
          </cell>
          <cell r="C358">
            <v>631</v>
          </cell>
          <cell r="D358">
            <v>3.3383240660892935E-3</v>
          </cell>
          <cell r="E358">
            <v>101539.3205334864</v>
          </cell>
          <cell r="F358">
            <v>281.34566966706916</v>
          </cell>
          <cell r="G358">
            <v>1173</v>
          </cell>
          <cell r="H358">
            <v>1.0220423071494169E-3</v>
          </cell>
          <cell r="I358">
            <v>7771.6752006343986</v>
          </cell>
          <cell r="J358">
            <v>-0.3076518753732671</v>
          </cell>
          <cell r="K358">
            <v>109592.0337519125</v>
          </cell>
          <cell r="M358">
            <v>65577.618829915766</v>
          </cell>
          <cell r="N358">
            <v>5654.9761293408556</v>
          </cell>
          <cell r="O358">
            <v>36243.0473732377</v>
          </cell>
          <cell r="P358">
            <v>2116.3914194181698</v>
          </cell>
          <cell r="Q358">
            <v>0.53850963613773406</v>
          </cell>
        </row>
        <row r="359">
          <cell r="A359">
            <v>9555</v>
          </cell>
          <cell r="B359" t="str">
            <v>East Chicago Urban Enterprise Acad</v>
          </cell>
          <cell r="C359">
            <v>291</v>
          </cell>
          <cell r="D359">
            <v>1.5395440621743018E-3</v>
          </cell>
          <cell r="E359">
            <v>46827.166838739373</v>
          </cell>
          <cell r="F359">
            <v>170.30219209226925</v>
          </cell>
          <cell r="G359">
            <v>408</v>
          </cell>
          <cell r="H359">
            <v>3.5549297639979717E-4</v>
          </cell>
          <cell r="I359">
            <v>2703.1913741337039</v>
          </cell>
          <cell r="J359">
            <v>-0.14725462675050949</v>
          </cell>
          <cell r="K359">
            <v>49700.513150338593</v>
          </cell>
          <cell r="M359">
            <v>39729.358194286739</v>
          </cell>
          <cell r="N359">
            <v>2744.8150485366818</v>
          </cell>
          <cell r="O359">
            <v>7268.1108365449036</v>
          </cell>
          <cell r="P359">
            <v>-41.77092902972845</v>
          </cell>
          <cell r="Q359">
            <v>0.17013491625139904</v>
          </cell>
        </row>
        <row r="360">
          <cell r="A360">
            <v>9575</v>
          </cell>
          <cell r="B360" t="str">
            <v>Victory College Prep Academy</v>
          </cell>
          <cell r="C360">
            <v>465</v>
          </cell>
          <cell r="D360">
            <v>2.4600961818249151E-3</v>
          </cell>
          <cell r="E360">
            <v>74826.916082521668</v>
          </cell>
          <cell r="F360">
            <v>345.55060349003179</v>
          </cell>
          <cell r="G360">
            <v>909</v>
          </cell>
          <cell r="H360">
            <v>7.9201744006719514E-4</v>
          </cell>
          <cell r="I360">
            <v>6022.5513703125898</v>
          </cell>
          <cell r="J360">
            <v>-0.30519358247420314</v>
          </cell>
          <cell r="K360">
            <v>81194.712862741813</v>
          </cell>
          <cell r="M360">
            <v>80575.76458384427</v>
          </cell>
          <cell r="N360">
            <v>5701.2791566027754</v>
          </cell>
          <cell r="O360">
            <v>-5403.29789783257</v>
          </cell>
          <cell r="P360">
            <v>320.96702012734022</v>
          </cell>
          <cell r="Q360">
            <v>-5.8907105034738359E-2</v>
          </cell>
        </row>
        <row r="361">
          <cell r="A361">
            <v>9595</v>
          </cell>
          <cell r="B361" t="str">
            <v>East Chicago Lighthouse Charter</v>
          </cell>
          <cell r="C361">
            <v>365</v>
          </cell>
          <cell r="D361">
            <v>1.9310432394969764E-3</v>
          </cell>
          <cell r="E361">
            <v>58735.106172301959</v>
          </cell>
          <cell r="F361">
            <v>212.07792659300321</v>
          </cell>
          <cell r="G361">
            <v>495</v>
          </cell>
          <cell r="H361">
            <v>4.3129662577916569E-4</v>
          </cell>
          <cell r="I361">
            <v>3279.6071818533906</v>
          </cell>
          <cell r="J361">
            <v>-0.176506695432181</v>
          </cell>
          <cell r="K361">
            <v>62226.61477405292</v>
          </cell>
          <cell r="M361">
            <v>49595.780967667881</v>
          </cell>
          <cell r="N361">
            <v>5701.2791566027754</v>
          </cell>
          <cell r="O361">
            <v>9351.4031312270818</v>
          </cell>
          <cell r="P361">
            <v>-2421.848481444817</v>
          </cell>
          <cell r="Q361">
            <v>0.12531506438514597</v>
          </cell>
        </row>
        <row r="362">
          <cell r="A362">
            <v>9615</v>
          </cell>
          <cell r="B362" t="str">
            <v>Andrew J Brown Academy</v>
          </cell>
          <cell r="C362">
            <v>348</v>
          </cell>
          <cell r="D362">
            <v>1.8411042393012269E-3</v>
          </cell>
          <cell r="E362">
            <v>55999.498487564611</v>
          </cell>
          <cell r="F362">
            <v>229.17773443176702</v>
          </cell>
          <cell r="G362">
            <v>687</v>
          </cell>
          <cell r="H362">
            <v>5.9858743820259967E-4</v>
          </cell>
          <cell r="I362">
            <v>4551.6972402692518</v>
          </cell>
          <cell r="J362">
            <v>-0.23635881049176533</v>
          </cell>
          <cell r="K362">
            <v>60780.137103455141</v>
          </cell>
          <cell r="M362">
            <v>53451.200869914283</v>
          </cell>
          <cell r="N362">
            <v>4484.3044641890438</v>
          </cell>
          <cell r="O362">
            <v>2777.4753520820959</v>
          </cell>
          <cell r="P362">
            <v>67.156417269716258</v>
          </cell>
          <cell r="Q362">
            <v>4.9099973374657692E-2</v>
          </cell>
        </row>
        <row r="363">
          <cell r="A363">
            <v>9620</v>
          </cell>
          <cell r="B363" t="str">
            <v>Burris Laboratory School</v>
          </cell>
          <cell r="C363">
            <v>100</v>
          </cell>
          <cell r="D363">
            <v>5.2905294232793879E-4</v>
          </cell>
          <cell r="E363">
            <v>16091.809910219716</v>
          </cell>
          <cell r="F363">
            <v>49.946514240360557</v>
          </cell>
          <cell r="G363">
            <v>657</v>
          </cell>
          <cell r="H363">
            <v>5.7244824876143802E-4</v>
          </cell>
          <cell r="I363">
            <v>4352.9331686417727</v>
          </cell>
          <cell r="J363">
            <v>-0.23260762789504952</v>
          </cell>
          <cell r="K363">
            <v>20494.456985473953</v>
          </cell>
          <cell r="M363">
            <v>11647.581406449983</v>
          </cell>
          <cell r="N363">
            <v>4345.4065084645745</v>
          </cell>
          <cell r="O363">
            <v>4494.1750180100935</v>
          </cell>
          <cell r="P363">
            <v>7.29405254930316</v>
          </cell>
          <cell r="Q363">
            <v>0.28146517051772851</v>
          </cell>
        </row>
        <row r="364">
          <cell r="A364">
            <v>9625</v>
          </cell>
          <cell r="B364" t="str">
            <v xml:space="preserve">Indiana Academy for Sci Math Hmn </v>
          </cell>
          <cell r="C364">
            <v>5</v>
          </cell>
          <cell r="D364">
            <v>2.6452647116396937E-5</v>
          </cell>
          <cell r="E364">
            <v>804.59049551098576</v>
          </cell>
          <cell r="F364">
            <v>1.3709852365553274</v>
          </cell>
          <cell r="G364">
            <v>210</v>
          </cell>
          <cell r="H364">
            <v>1.8297432608813089E-4</v>
          </cell>
          <cell r="I364">
            <v>1391.3485013923475</v>
          </cell>
          <cell r="J364">
            <v>-0.10030772814775446</v>
          </cell>
          <cell r="K364">
            <v>2197.2096744117407</v>
          </cell>
          <cell r="M364">
            <v>319.11440694092857</v>
          </cell>
          <cell r="N364">
            <v>1878.3799190150207</v>
          </cell>
          <cell r="O364">
            <v>486.84707380661257</v>
          </cell>
          <cell r="P364">
            <v>-487.13172535082094</v>
          </cell>
          <cell r="Q364">
            <v>-1.2953459804022213E-4</v>
          </cell>
        </row>
        <row r="365">
          <cell r="A365">
            <v>9645</v>
          </cell>
          <cell r="B365" t="str">
            <v>Avondale Meadows Academy</v>
          </cell>
          <cell r="C365">
            <v>185</v>
          </cell>
          <cell r="D365">
            <v>9.7874794330668675E-4</v>
          </cell>
          <cell r="E365">
            <v>29769.848333906473</v>
          </cell>
          <cell r="F365">
            <v>123.18622053174113</v>
          </cell>
          <cell r="G365">
            <v>425</v>
          </cell>
          <cell r="H365">
            <v>3.7030518374978869E-4</v>
          </cell>
          <cell r="I365">
            <v>2815.8243480559413</v>
          </cell>
          <cell r="J365">
            <v>-0.15713233149199368</v>
          </cell>
          <cell r="K365">
            <v>32708.701770162661</v>
          </cell>
          <cell r="M365">
            <v>28720.094173925336</v>
          </cell>
          <cell r="N365">
            <v>2890.32124473458</v>
          </cell>
          <cell r="O365">
            <v>1172.9403805128786</v>
          </cell>
          <cell r="P365">
            <v>-74.654029010130671</v>
          </cell>
          <cell r="Q365">
            <v>3.4744445365764459E-2</v>
          </cell>
        </row>
        <row r="366">
          <cell r="A366">
            <v>9650</v>
          </cell>
          <cell r="B366" t="str">
            <v>Herron Charter</v>
          </cell>
          <cell r="C366">
            <v>160</v>
          </cell>
          <cell r="D366">
            <v>8.4648470772470197E-4</v>
          </cell>
          <cell r="E366">
            <v>25746.895856351544</v>
          </cell>
          <cell r="F366">
            <v>88.273546396041638</v>
          </cell>
          <cell r="G366">
            <v>905</v>
          </cell>
          <cell r="H366">
            <v>7.8853221480837355E-4</v>
          </cell>
          <cell r="I366">
            <v>5996.0494940955923</v>
          </cell>
          <cell r="J366">
            <v>-0.29659756987348374</v>
          </cell>
          <cell r="K366">
            <v>31830.922299273305</v>
          </cell>
          <cell r="M366">
            <v>20582.724246328118</v>
          </cell>
          <cell r="N366">
            <v>5595.4578806861846</v>
          </cell>
          <cell r="O366">
            <v>5252.4451564194678</v>
          </cell>
          <cell r="P366">
            <v>400.29501583953424</v>
          </cell>
          <cell r="Q366">
            <v>0.21593325865151328</v>
          </cell>
        </row>
        <row r="367">
          <cell r="A367">
            <v>9651</v>
          </cell>
          <cell r="B367" t="str">
            <v>The Hope Academy, Inc.</v>
          </cell>
          <cell r="C367">
            <v>1</v>
          </cell>
          <cell r="D367">
            <v>5.2905294232793872E-6</v>
          </cell>
          <cell r="E367">
            <v>160.91809910219715</v>
          </cell>
          <cell r="G367">
            <v>19</v>
          </cell>
          <cell r="H367">
            <v>1.6554819979402318E-5</v>
          </cell>
          <cell r="I367">
            <v>125.8839120307362</v>
          </cell>
          <cell r="K367">
            <v>286.80201113293333</v>
          </cell>
          <cell r="M367">
            <v>0</v>
          </cell>
          <cell r="N367">
            <v>0</v>
          </cell>
          <cell r="O367">
            <v>160.91809910219715</v>
          </cell>
          <cell r="P367">
            <v>125.8839120307362</v>
          </cell>
          <cell r="Q367" t="e">
            <v>#DIV/0!</v>
          </cell>
        </row>
        <row r="368">
          <cell r="A368">
            <v>9665</v>
          </cell>
          <cell r="B368" t="str">
            <v>Geist Montessori Academy</v>
          </cell>
          <cell r="C368">
            <v>2</v>
          </cell>
          <cell r="D368">
            <v>1.0581058846558774E-5</v>
          </cell>
          <cell r="E368">
            <v>321.83619820439429</v>
          </cell>
          <cell r="F368">
            <v>4.1039177293876037</v>
          </cell>
          <cell r="G368">
            <v>363</v>
          </cell>
          <cell r="H368">
            <v>3.162841922380548E-4</v>
          </cell>
          <cell r="I368">
            <v>2405.0452666924862</v>
          </cell>
          <cell r="J368">
            <v>-0.13411747511645444</v>
          </cell>
          <cell r="K368">
            <v>2730.8512651511514</v>
          </cell>
          <cell r="M368">
            <v>957.3341828425074</v>
          </cell>
          <cell r="N368">
            <v>2526.5540748343565</v>
          </cell>
          <cell r="O368">
            <v>-631.39406690872556</v>
          </cell>
          <cell r="P368">
            <v>-121.64292561698676</v>
          </cell>
          <cell r="Q368">
            <v>-0.2161484344012384</v>
          </cell>
        </row>
        <row r="369">
          <cell r="A369">
            <v>9670</v>
          </cell>
          <cell r="B369" t="str">
            <v>Indianapolis Metropolitan High Sch</v>
          </cell>
          <cell r="C369">
            <v>88</v>
          </cell>
          <cell r="D369">
            <v>4.6556658924858612E-4</v>
          </cell>
          <cell r="E369">
            <v>14160.79272099335</v>
          </cell>
          <cell r="F369">
            <v>42.466198008158244</v>
          </cell>
          <cell r="G369">
            <v>213</v>
          </cell>
          <cell r="H369">
            <v>1.8558824503224706E-4</v>
          </cell>
          <cell r="I369">
            <v>1411.2249085550955</v>
          </cell>
          <cell r="J369">
            <v>-7.4663073394049206E-2</v>
          </cell>
          <cell r="K369">
            <v>15614.40916448321</v>
          </cell>
          <cell r="M369">
            <v>9892.5122708437284</v>
          </cell>
          <cell r="N369">
            <v>1316.1843690459386</v>
          </cell>
          <cell r="O369">
            <v>4310.7466481577794</v>
          </cell>
          <cell r="P369">
            <v>94.965876435762766</v>
          </cell>
          <cell r="Q369">
            <v>0.39306198268534009</v>
          </cell>
        </row>
        <row r="370">
          <cell r="A370">
            <v>9680</v>
          </cell>
          <cell r="B370" t="str">
            <v xml:space="preserve">Paramount Brookside </v>
          </cell>
          <cell r="C370">
            <v>349</v>
          </cell>
          <cell r="D370">
            <v>1.8463947687245063E-3</v>
          </cell>
          <cell r="E370">
            <v>56160.416586666805</v>
          </cell>
          <cell r="F370">
            <v>254.5323752267941</v>
          </cell>
          <cell r="G370">
            <v>806</v>
          </cell>
          <cell r="H370">
            <v>7.0227288965254043E-4</v>
          </cell>
          <cell r="I370">
            <v>5340.1280577249145</v>
          </cell>
          <cell r="J370">
            <v>-0.27676480581794749</v>
          </cell>
          <cell r="K370">
            <v>61754.800254812697</v>
          </cell>
          <cell r="M370">
            <v>59354.808812240219</v>
          </cell>
          <cell r="N370">
            <v>5291.2168316538109</v>
          </cell>
          <cell r="O370">
            <v>-2939.8598503466201</v>
          </cell>
          <cell r="P370">
            <v>48.634461265285609</v>
          </cell>
          <cell r="Q370">
            <v>-4.4723946449667283E-2</v>
          </cell>
        </row>
        <row r="371">
          <cell r="A371">
            <v>9685</v>
          </cell>
          <cell r="B371" t="str">
            <v>Aspire Charter Academy</v>
          </cell>
          <cell r="C371">
            <v>407</v>
          </cell>
          <cell r="D371">
            <v>2.1532454752747109E-3</v>
          </cell>
          <cell r="E371">
            <v>65493.666334594243</v>
          </cell>
          <cell r="F371">
            <v>254.5667195518472</v>
          </cell>
          <cell r="G371">
            <v>631</v>
          </cell>
          <cell r="H371">
            <v>5.4979428457909807E-4</v>
          </cell>
          <cell r="I371">
            <v>4180.670973231292</v>
          </cell>
          <cell r="J371">
            <v>-0.24516474877600558</v>
          </cell>
          <cell r="K371">
            <v>69928.658862628596</v>
          </cell>
          <cell r="M371">
            <v>59354.843156565272</v>
          </cell>
          <cell r="N371">
            <v>4590.125530179952</v>
          </cell>
          <cell r="O371">
            <v>6393.3898975808115</v>
          </cell>
          <cell r="P371">
            <v>-409.69972169743596</v>
          </cell>
          <cell r="Q371">
            <v>9.3575621331466838E-2</v>
          </cell>
        </row>
        <row r="372">
          <cell r="A372">
            <v>9690</v>
          </cell>
          <cell r="B372" t="str">
            <v>Renaissance Academy Charter School</v>
          </cell>
          <cell r="C372">
            <v>25</v>
          </cell>
          <cell r="D372">
            <v>1.322632355819847E-4</v>
          </cell>
          <cell r="E372">
            <v>4022.9524775549289</v>
          </cell>
          <cell r="F372">
            <v>13.004928089676923</v>
          </cell>
          <cell r="G372">
            <v>243</v>
          </cell>
          <cell r="H372">
            <v>2.117274344734086E-4</v>
          </cell>
          <cell r="I372">
            <v>1609.9889801825734</v>
          </cell>
          <cell r="J372">
            <v>-8.4154133814308807E-2</v>
          </cell>
          <cell r="K372">
            <v>5645.8622316933652</v>
          </cell>
          <cell r="M372">
            <v>3031.5674342812226</v>
          </cell>
          <cell r="N372">
            <v>1521.220254848329</v>
          </cell>
          <cell r="O372">
            <v>1004.3899713633832</v>
          </cell>
          <cell r="P372">
            <v>88.684571200430128</v>
          </cell>
          <cell r="Q372">
            <v>0.24008906568906982</v>
          </cell>
        </row>
        <row r="373">
          <cell r="A373">
            <v>9705</v>
          </cell>
          <cell r="B373" t="str">
            <v>Hammond Academy of Science &amp; Tech</v>
          </cell>
          <cell r="C373">
            <v>229</v>
          </cell>
          <cell r="D373">
            <v>1.2115312379309797E-3</v>
          </cell>
          <cell r="E373">
            <v>36850.244694403147</v>
          </cell>
          <cell r="F373">
            <v>110.81481667374464</v>
          </cell>
          <cell r="G373">
            <v>548</v>
          </cell>
          <cell r="H373">
            <v>4.7747586045855108E-4</v>
          </cell>
          <cell r="I373">
            <v>3630.757041728602</v>
          </cell>
          <cell r="J373">
            <v>-0.18716341613480836</v>
          </cell>
          <cell r="K373">
            <v>40591.62938938936</v>
          </cell>
          <cell r="M373">
            <v>25848.031974727979</v>
          </cell>
          <cell r="N373">
            <v>3538.4991792162423</v>
          </cell>
          <cell r="O373">
            <v>11113.027536348913</v>
          </cell>
          <cell r="P373">
            <v>92.070699096224871</v>
          </cell>
          <cell r="Q373">
            <v>0.38130047322517013</v>
          </cell>
        </row>
        <row r="374">
          <cell r="A374">
            <v>9725</v>
          </cell>
          <cell r="B374" t="str">
            <v>Canaan Community Academy</v>
          </cell>
          <cell r="C374">
            <v>70</v>
          </cell>
          <cell r="D374">
            <v>3.7033705962955714E-4</v>
          </cell>
          <cell r="E374">
            <v>11264.266937153801</v>
          </cell>
          <cell r="F374">
            <v>34.186962505183146</v>
          </cell>
          <cell r="G374">
            <v>147</v>
          </cell>
          <cell r="H374">
            <v>1.2808202826169164E-4</v>
          </cell>
          <cell r="I374">
            <v>973.94395097464337</v>
          </cell>
          <cell r="J374">
            <v>-4.188654413542281E-2</v>
          </cell>
          <cell r="K374">
            <v>12272.355964089491</v>
          </cell>
          <cell r="M374">
            <v>7977.7725051145135</v>
          </cell>
          <cell r="N374">
            <v>826.75398790268162</v>
          </cell>
          <cell r="O374">
            <v>3320.6813945444701</v>
          </cell>
          <cell r="P374">
            <v>147.14807652782633</v>
          </cell>
          <cell r="Q374">
            <v>0.39386893478287638</v>
          </cell>
        </row>
        <row r="375">
          <cell r="A375">
            <v>9730</v>
          </cell>
          <cell r="B375" t="str">
            <v>Neighbors' New Vistas High School</v>
          </cell>
          <cell r="C375">
            <v>21</v>
          </cell>
          <cell r="D375">
            <v>1.1110111788886714E-4</v>
          </cell>
          <cell r="E375">
            <v>3379.2800811461402</v>
          </cell>
          <cell r="F375">
            <v>16.412055725439131</v>
          </cell>
          <cell r="G375">
            <v>98</v>
          </cell>
          <cell r="H375">
            <v>8.5388018841127744E-5</v>
          </cell>
          <cell r="I375">
            <v>649.2959673164288</v>
          </cell>
          <cell r="J375">
            <v>-3.4146773528277663E-2</v>
          </cell>
          <cell r="K375">
            <v>4044.9539574144796</v>
          </cell>
          <cell r="M375">
            <v>3829.3331161779183</v>
          </cell>
          <cell r="N375">
            <v>687.86002076622344</v>
          </cell>
          <cell r="O375">
            <v>-433.64097930633898</v>
          </cell>
          <cell r="P375">
            <v>-38.59820022332292</v>
          </cell>
          <cell r="Q375">
            <v>-0.10454261423259163</v>
          </cell>
        </row>
        <row r="376">
          <cell r="A376">
            <v>9735</v>
          </cell>
          <cell r="B376" t="str">
            <v>Inspire Academy - A Sch of Inquiry</v>
          </cell>
          <cell r="C376">
            <v>89</v>
          </cell>
          <cell r="D376">
            <v>4.708571186718655E-4</v>
          </cell>
          <cell r="E376">
            <v>14321.710820095546</v>
          </cell>
          <cell r="F376">
            <v>48.589085974224872</v>
          </cell>
          <cell r="G376">
            <v>180</v>
          </cell>
          <cell r="H376">
            <v>1.5683513664696935E-4</v>
          </cell>
          <cell r="I376">
            <v>1192.5844297648694</v>
          </cell>
          <cell r="J376">
            <v>-6.4824045938621566E-2</v>
          </cell>
          <cell r="K376">
            <v>15562.819511788701</v>
          </cell>
          <cell r="M376">
            <v>11328.480556479475</v>
          </cell>
          <cell r="N376">
            <v>1177.2925011663287</v>
          </cell>
          <cell r="O376">
            <v>3041.819349590296</v>
          </cell>
          <cell r="P376">
            <v>15.227104552601986</v>
          </cell>
          <cell r="Q376">
            <v>0.24445081803830396</v>
          </cell>
        </row>
        <row r="377">
          <cell r="A377">
            <v>9750</v>
          </cell>
          <cell r="B377" t="str">
            <v>Excel Center - Anderson</v>
          </cell>
          <cell r="C377">
            <v>10</v>
          </cell>
          <cell r="D377">
            <v>5.2905294232793873E-5</v>
          </cell>
          <cell r="E377">
            <v>1609.1809910219715</v>
          </cell>
          <cell r="F377">
            <v>6.2141715668776669</v>
          </cell>
          <cell r="G377">
            <v>31</v>
          </cell>
          <cell r="H377">
            <v>2.7010495755866942E-5</v>
          </cell>
          <cell r="I377">
            <v>205.38954068172748</v>
          </cell>
          <cell r="J377">
            <v>-2.0086708724150526E-2</v>
          </cell>
          <cell r="K377">
            <v>1820.7646165618526</v>
          </cell>
          <cell r="M377">
            <v>1436.0595692365573</v>
          </cell>
          <cell r="N377">
            <v>132.26725320276654</v>
          </cell>
          <cell r="O377">
            <v>179.33559335229188</v>
          </cell>
          <cell r="P377">
            <v>73.102200770236777</v>
          </cell>
          <cell r="Q377">
            <v>0.16095994183782128</v>
          </cell>
        </row>
        <row r="378">
          <cell r="A378">
            <v>9760</v>
          </cell>
          <cell r="B378" t="str">
            <v>Smith Academy for Excellence</v>
          </cell>
          <cell r="C378">
            <v>31</v>
          </cell>
          <cell r="D378">
            <v>1.64006412121661E-4</v>
          </cell>
          <cell r="E378">
            <v>4988.4610721681111</v>
          </cell>
          <cell r="F378">
            <v>22.549404459949983</v>
          </cell>
          <cell r="G378">
            <v>77</v>
          </cell>
          <cell r="H378">
            <v>6.7090586232314655E-5</v>
          </cell>
          <cell r="I378">
            <v>510.16111717719406</v>
          </cell>
          <cell r="J378">
            <v>-2.1186469071039937E-2</v>
          </cell>
          <cell r="K378">
            <v>5521.1504073361839</v>
          </cell>
          <cell r="M378">
            <v>5265.3158625821088</v>
          </cell>
          <cell r="N378">
            <v>535.74254017246642</v>
          </cell>
          <cell r="O378">
            <v>-254.30538595404778</v>
          </cell>
          <cell r="P378">
            <v>-25.602609464343402</v>
          </cell>
          <cell r="Q378">
            <v>-4.8251194176131655E-2</v>
          </cell>
        </row>
        <row r="379">
          <cell r="A379">
            <v>9785</v>
          </cell>
          <cell r="B379" t="str">
            <v>IN Math &amp; Science Academy</v>
          </cell>
          <cell r="C379">
            <v>283</v>
          </cell>
          <cell r="D379">
            <v>1.4972198267880668E-3</v>
          </cell>
          <cell r="E379">
            <v>45539.822045921799</v>
          </cell>
          <cell r="F379">
            <v>190.69976800544828</v>
          </cell>
          <cell r="G379">
            <v>574</v>
          </cell>
          <cell r="H379">
            <v>5.0012982464089114E-4</v>
          </cell>
          <cell r="I379">
            <v>3803.0192371390835</v>
          </cell>
          <cell r="J379">
            <v>-0.15360864215699621</v>
          </cell>
          <cell r="K379">
            <v>49533.387442424173</v>
          </cell>
          <cell r="M379">
            <v>44515.907095765513</v>
          </cell>
          <cell r="N379">
            <v>3723.7350098663073</v>
          </cell>
          <cell r="O379">
            <v>1214.6147181617343</v>
          </cell>
          <cell r="P379">
            <v>79.13061863061921</v>
          </cell>
          <cell r="Q379">
            <v>2.6819132156067821E-2</v>
          </cell>
        </row>
        <row r="380">
          <cell r="A380">
            <v>9790</v>
          </cell>
          <cell r="B380" t="str">
            <v>Anderson Preparatory Academy</v>
          </cell>
          <cell r="C380">
            <v>284</v>
          </cell>
          <cell r="D380">
            <v>1.5025103562113461E-3</v>
          </cell>
          <cell r="E380">
            <v>45700.740145023992</v>
          </cell>
          <cell r="F380">
            <v>197.75624114843231</v>
          </cell>
          <cell r="G380">
            <v>748</v>
          </cell>
          <cell r="H380">
            <v>6.5173712339962808E-4</v>
          </cell>
          <cell r="I380">
            <v>4955.8508525784564</v>
          </cell>
          <cell r="J380">
            <v>-0.24280607702439738</v>
          </cell>
          <cell r="K380">
            <v>50854.104432673856</v>
          </cell>
          <cell r="M380">
            <v>46111.68067743037</v>
          </cell>
          <cell r="N380">
            <v>4815.0163667012384</v>
          </cell>
          <cell r="O380">
            <v>-213.18429125794501</v>
          </cell>
          <cell r="P380">
            <v>140.59167980019356</v>
          </cell>
          <cell r="Q380">
            <v>-1.4254333320467413E-3</v>
          </cell>
        </row>
        <row r="381">
          <cell r="A381">
            <v>9805</v>
          </cell>
          <cell r="B381" t="str">
            <v>Hoosier Academy - Indianapolis</v>
          </cell>
          <cell r="C381">
            <v>27</v>
          </cell>
          <cell r="D381">
            <v>1.4284429442854347E-4</v>
          </cell>
          <cell r="E381">
            <v>4344.7886757593233</v>
          </cell>
          <cell r="F381">
            <v>26.679532332144845</v>
          </cell>
          <cell r="G381">
            <v>125</v>
          </cell>
          <cell r="H381">
            <v>1.0891328933817315E-4</v>
          </cell>
          <cell r="I381">
            <v>828.18363178115919</v>
          </cell>
          <cell r="J381">
            <v>-5.2963244748070792E-2</v>
          </cell>
          <cell r="K381">
            <v>5199.5988766278797</v>
          </cell>
          <cell r="M381">
            <v>6222.6762555674231</v>
          </cell>
          <cell r="N381">
            <v>1177.3043619675193</v>
          </cell>
          <cell r="O381">
            <v>-1851.208047475955</v>
          </cell>
          <cell r="P381">
            <v>-349.17369343110818</v>
          </cell>
          <cell r="Q381">
            <v>-0.29734966274006913</v>
          </cell>
        </row>
        <row r="382">
          <cell r="A382">
            <v>9835</v>
          </cell>
          <cell r="B382" t="str">
            <v>The Bloomington Project School</v>
          </cell>
          <cell r="C382">
            <v>30</v>
          </cell>
          <cell r="D382">
            <v>1.5871588269838162E-4</v>
          </cell>
          <cell r="E382">
            <v>4827.5429730659143</v>
          </cell>
          <cell r="F382">
            <v>23.285057868771219</v>
          </cell>
          <cell r="G382">
            <v>278</v>
          </cell>
          <cell r="H382">
            <v>2.4222315548809708E-4</v>
          </cell>
          <cell r="I382">
            <v>1841.880397081298</v>
          </cell>
          <cell r="J382">
            <v>-8.9723020319979696E-2</v>
          </cell>
          <cell r="K382">
            <v>6692.6187049956634</v>
          </cell>
          <cell r="M382">
            <v>5424.9232268431169</v>
          </cell>
          <cell r="N382">
            <v>1845.3186687449756</v>
          </cell>
          <cell r="O382">
            <v>-574.09519590843138</v>
          </cell>
          <cell r="P382">
            <v>-3.5279946839975764</v>
          </cell>
          <cell r="Q382">
            <v>-7.9450340014540155E-2</v>
          </cell>
        </row>
        <row r="383">
          <cell r="A383">
            <v>9855</v>
          </cell>
          <cell r="B383" t="str">
            <v>Excel Center - Noblesville</v>
          </cell>
          <cell r="C383">
            <v>5</v>
          </cell>
          <cell r="D383">
            <v>2.6452647116396937E-5</v>
          </cell>
          <cell r="E383">
            <v>804.59049551098576</v>
          </cell>
          <cell r="F383">
            <v>2.0894664828492751</v>
          </cell>
          <cell r="G383">
            <v>56</v>
          </cell>
          <cell r="H383">
            <v>4.8793153623501573E-5</v>
          </cell>
          <cell r="I383">
            <v>371.02626703795931</v>
          </cell>
          <cell r="J383">
            <v>-4.1963384546988891E-2</v>
          </cell>
          <cell r="K383">
            <v>1177.6642656472475</v>
          </cell>
          <cell r="M383">
            <v>478.70459903940917</v>
          </cell>
          <cell r="N383">
            <v>337.29075338975434</v>
          </cell>
          <cell r="O383">
            <v>327.97536295442586</v>
          </cell>
          <cell r="P383">
            <v>33.693550263657983</v>
          </cell>
          <cell r="Q383">
            <v>0.44322423178198223</v>
          </cell>
        </row>
        <row r="384">
          <cell r="A384">
            <v>9870</v>
          </cell>
          <cell r="B384" t="str">
            <v>Discovery Charter School</v>
          </cell>
          <cell r="C384">
            <v>39</v>
          </cell>
          <cell r="D384">
            <v>2.0633064750789611E-4</v>
          </cell>
          <cell r="E384">
            <v>6275.8058649856885</v>
          </cell>
          <cell r="F384">
            <v>28.015269445614649</v>
          </cell>
          <cell r="G384">
            <v>536</v>
          </cell>
          <cell r="H384">
            <v>4.6702018468208648E-4</v>
          </cell>
          <cell r="I384">
            <v>3551.2514130776108</v>
          </cell>
          <cell r="J384">
            <v>-0.13730606599665407</v>
          </cell>
          <cell r="K384">
            <v>9854.9352414429159</v>
          </cell>
          <cell r="M384">
            <v>6541.7554143852667</v>
          </cell>
          <cell r="N384">
            <v>3538.5490365663804</v>
          </cell>
          <cell r="O384">
            <v>-237.9342799539636</v>
          </cell>
          <cell r="P384">
            <v>12.565070445233687</v>
          </cell>
          <cell r="Q384">
            <v>-2.2357381228446285E-2</v>
          </cell>
        </row>
        <row r="385">
          <cell r="A385">
            <v>9875</v>
          </cell>
          <cell r="B385" t="str">
            <v>Rock Creek Community Academy</v>
          </cell>
          <cell r="C385">
            <v>57</v>
          </cell>
          <cell r="D385">
            <v>3.0156017712692509E-4</v>
          </cell>
          <cell r="E385">
            <v>9172.3316488252385</v>
          </cell>
          <cell r="F385">
            <v>36.249315047199161</v>
          </cell>
          <cell r="G385">
            <v>544</v>
          </cell>
          <cell r="H385">
            <v>4.7399063519972955E-4</v>
          </cell>
          <cell r="I385">
            <v>3604.2551655116049</v>
          </cell>
          <cell r="J385">
            <v>-0.18237914436940628</v>
          </cell>
          <cell r="K385">
            <v>12812.653750239673</v>
          </cell>
          <cell r="M385">
            <v>8456.4499902130883</v>
          </cell>
          <cell r="N385">
            <v>3366.5304216030695</v>
          </cell>
          <cell r="O385">
            <v>752.13097365935027</v>
          </cell>
          <cell r="P385">
            <v>237.542364764166</v>
          </cell>
          <cell r="Q385">
            <v>8.3707601971023657E-2</v>
          </cell>
        </row>
        <row r="386">
          <cell r="A386">
            <v>9880</v>
          </cell>
          <cell r="B386" t="str">
            <v>Career Academy High School</v>
          </cell>
          <cell r="C386">
            <v>69</v>
          </cell>
          <cell r="D386">
            <v>3.6504653020627776E-4</v>
          </cell>
          <cell r="E386">
            <v>11103.348838051605</v>
          </cell>
          <cell r="F386">
            <v>52.637872023911768</v>
          </cell>
          <cell r="G386">
            <v>319</v>
          </cell>
          <cell r="H386">
            <v>2.7794671439101786E-4</v>
          </cell>
          <cell r="I386">
            <v>2113.524628305518</v>
          </cell>
          <cell r="J386">
            <v>-0.11777023727177038</v>
          </cell>
          <cell r="K386">
            <v>13269.393568143763</v>
          </cell>
          <cell r="M386">
            <v>12285.759607642281</v>
          </cell>
          <cell r="N386">
            <v>1884.9768235014712</v>
          </cell>
          <cell r="O386">
            <v>-1129.7728975667651</v>
          </cell>
          <cell r="P386">
            <v>228.43003456677479</v>
          </cell>
          <cell r="Q386">
            <v>-6.3605929542169939E-2</v>
          </cell>
        </row>
        <row r="387">
          <cell r="A387">
            <v>9885</v>
          </cell>
          <cell r="B387" t="str">
            <v>Gary Middle College</v>
          </cell>
          <cell r="C387">
            <v>16</v>
          </cell>
          <cell r="D387">
            <v>8.4648470772470194E-5</v>
          </cell>
          <cell r="E387">
            <v>2574.6895856351543</v>
          </cell>
          <cell r="F387">
            <v>10.316281700207583</v>
          </cell>
          <cell r="G387">
            <v>40</v>
          </cell>
          <cell r="H387">
            <v>3.485225258821541E-5</v>
          </cell>
          <cell r="I387">
            <v>265.01876216997096</v>
          </cell>
          <cell r="J387">
            <v>-4.0129269923852462E-2</v>
          </cell>
          <cell r="K387">
            <v>2849.9845002354091</v>
          </cell>
          <cell r="M387">
            <v>2393.3919444830071</v>
          </cell>
          <cell r="N387">
            <v>310.83511952207937</v>
          </cell>
          <cell r="O387">
            <v>191.61392285235479</v>
          </cell>
          <cell r="P387">
            <v>-45.856486622032264</v>
          </cell>
          <cell r="Q387">
            <v>5.3899851151718359E-2</v>
          </cell>
        </row>
        <row r="388">
          <cell r="A388">
            <v>9895</v>
          </cell>
          <cell r="B388" t="str">
            <v>IN Math &amp; Science Academy - North</v>
          </cell>
          <cell r="C388">
            <v>321</v>
          </cell>
          <cell r="D388">
            <v>1.6982599448726835E-3</v>
          </cell>
          <cell r="E388">
            <v>51654.709811805289</v>
          </cell>
          <cell r="F388">
            <v>-4825.680715626826</v>
          </cell>
          <cell r="G388">
            <v>652</v>
          </cell>
          <cell r="H388">
            <v>5.6809171718791112E-4</v>
          </cell>
          <cell r="I388">
            <v>4319.805823370526</v>
          </cell>
          <cell r="J388">
            <v>-8739.2268924413111</v>
          </cell>
          <cell r="K388">
            <v>42409.608027107679</v>
          </cell>
          <cell r="M388">
            <v>48714.085841560067</v>
          </cell>
          <cell r="N388">
            <v>-4360.515941370968</v>
          </cell>
          <cell r="O388">
            <v>-1885.0567453816038</v>
          </cell>
          <cell r="P388">
            <v>-58.905127699817058</v>
          </cell>
          <cell r="Q388">
            <v>-4.3828757808131537E-2</v>
          </cell>
        </row>
        <row r="389">
          <cell r="A389">
            <v>9905</v>
          </cell>
          <cell r="B389" t="str">
            <v>Indiana Connections Academy</v>
          </cell>
          <cell r="C389">
            <v>661</v>
          </cell>
          <cell r="D389">
            <v>3.4970399487876751E-3</v>
          </cell>
          <cell r="E389">
            <v>106366.86350655231</v>
          </cell>
          <cell r="F389">
            <v>444.06089735984278</v>
          </cell>
          <cell r="G389">
            <v>4740</v>
          </cell>
          <cell r="H389">
            <v>4.1299919317035255E-3</v>
          </cell>
          <cell r="I389">
            <v>31404.723317141554</v>
          </cell>
          <cell r="J389">
            <v>-1.5647831828900962</v>
          </cell>
          <cell r="K389">
            <v>138214.08293787081</v>
          </cell>
          <cell r="M389">
            <v>103551.80124042896</v>
          </cell>
          <cell r="N389">
            <v>29597.72752201316</v>
          </cell>
          <cell r="O389">
            <v>3259.1231634831929</v>
          </cell>
          <cell r="P389">
            <v>1805.431011945504</v>
          </cell>
          <cell r="Q389">
            <v>3.8036591060450459E-2</v>
          </cell>
        </row>
        <row r="390">
          <cell r="A390">
            <v>9910</v>
          </cell>
          <cell r="B390" t="str">
            <v>Excel Center for Adult Learners</v>
          </cell>
          <cell r="C390">
            <v>25</v>
          </cell>
          <cell r="D390">
            <v>1.322632355819847E-4</v>
          </cell>
          <cell r="E390">
            <v>4022.9524775549289</v>
          </cell>
          <cell r="F390">
            <v>15.051916065217938</v>
          </cell>
          <cell r="G390">
            <v>62</v>
          </cell>
          <cell r="H390">
            <v>5.4020991511733883E-5</v>
          </cell>
          <cell r="I390">
            <v>410.77908136345496</v>
          </cell>
          <cell r="J390">
            <v>-2.6373795872416395E-2</v>
          </cell>
          <cell r="K390">
            <v>4448.7571011877299</v>
          </cell>
          <cell r="M390">
            <v>3510.2295548133238</v>
          </cell>
          <cell r="N390">
            <v>489.43678387664329</v>
          </cell>
          <cell r="O390">
            <v>527.77483880682303</v>
          </cell>
          <cell r="P390">
            <v>-78.684076309060742</v>
          </cell>
          <cell r="Q390">
            <v>0.11228205666897091</v>
          </cell>
        </row>
        <row r="391">
          <cell r="A391">
            <v>9920</v>
          </cell>
          <cell r="B391" t="str">
            <v>Damar Charter Academy</v>
          </cell>
          <cell r="C391">
            <v>30</v>
          </cell>
          <cell r="D391">
            <v>1.5871588269838162E-4</v>
          </cell>
          <cell r="E391">
            <v>4827.5429730659143</v>
          </cell>
          <cell r="F391">
            <v>29.423310401311028</v>
          </cell>
          <cell r="G391">
            <v>161</v>
          </cell>
          <cell r="H391">
            <v>1.4028031666756701E-4</v>
          </cell>
          <cell r="I391">
            <v>1066.700517734133</v>
          </cell>
          <cell r="J391">
            <v>-6.0222220127570836E-2</v>
          </cell>
          <cell r="K391">
            <v>5923.6065789812301</v>
          </cell>
          <cell r="M391">
            <v>6860.9068770453359</v>
          </cell>
          <cell r="N391">
            <v>1144.2252680142672</v>
          </cell>
          <cell r="O391">
            <v>-2003.9405935781106</v>
          </cell>
          <cell r="P391">
            <v>-77.584972500261756</v>
          </cell>
          <cell r="Q391">
            <v>-0.2600238857222355</v>
          </cell>
        </row>
        <row r="392">
          <cell r="A392">
            <v>9925</v>
          </cell>
          <cell r="B392" t="str">
            <v>Phalen Leadership Academy - IN Inc</v>
          </cell>
          <cell r="C392">
            <v>144</v>
          </cell>
          <cell r="D392">
            <v>7.6183623695223182E-4</v>
          </cell>
          <cell r="E392">
            <v>23172.20627071639</v>
          </cell>
          <cell r="F392">
            <v>8757.8530873653108</v>
          </cell>
          <cell r="G392">
            <v>297</v>
          </cell>
          <cell r="H392">
            <v>2.5877797546749938E-4</v>
          </cell>
          <cell r="I392">
            <v>1967.7643091120342</v>
          </cell>
          <cell r="J392">
            <v>945.29074839575765</v>
          </cell>
          <cell r="K392">
            <v>34843.114415589494</v>
          </cell>
          <cell r="M392">
            <v>33700.711691158605</v>
          </cell>
          <cell r="N392">
            <v>3372.7634357716124</v>
          </cell>
          <cell r="O392">
            <v>-1770.6523330769051</v>
          </cell>
          <cell r="P392">
            <v>-459.70837826382058</v>
          </cell>
          <cell r="Q392">
            <v>-6.0160551545398254E-2</v>
          </cell>
        </row>
        <row r="393">
          <cell r="A393">
            <v>9935</v>
          </cell>
          <cell r="B393" t="str">
            <v>Vision Academy</v>
          </cell>
          <cell r="C393">
            <v>223</v>
          </cell>
          <cell r="D393">
            <v>1.1797880613913035E-3</v>
          </cell>
          <cell r="E393">
            <v>35884.736099789967</v>
          </cell>
          <cell r="F393">
            <v>142.34657331649578</v>
          </cell>
          <cell r="G393">
            <v>441</v>
          </cell>
          <cell r="H393">
            <v>3.8424608478507488E-4</v>
          </cell>
          <cell r="I393">
            <v>2921.8318529239295</v>
          </cell>
          <cell r="J393">
            <v>-0.15188965961033318</v>
          </cell>
          <cell r="K393">
            <v>38948.762636370782</v>
          </cell>
          <cell r="M393">
            <v>33187.662430571305</v>
          </cell>
          <cell r="N393">
            <v>2837.4115514418659</v>
          </cell>
          <cell r="O393">
            <v>2839.4202425351541</v>
          </cell>
          <cell r="P393">
            <v>84.268411822453345</v>
          </cell>
          <cell r="Q393">
            <v>8.1157047888850004E-2</v>
          </cell>
        </row>
        <row r="394">
          <cell r="A394">
            <v>9950</v>
          </cell>
          <cell r="B394" t="str">
            <v>Dugger Union Community School Corp</v>
          </cell>
          <cell r="C394">
            <v>78</v>
          </cell>
          <cell r="D394">
            <v>4.1266129501579222E-4</v>
          </cell>
          <cell r="E394">
            <v>12551.611729971377</v>
          </cell>
          <cell r="F394">
            <v>58.830352438120826</v>
          </cell>
          <cell r="G394">
            <v>488</v>
          </cell>
          <cell r="H394">
            <v>4.2519748157622799E-4</v>
          </cell>
          <cell r="I394">
            <v>3233.2288984736456</v>
          </cell>
          <cell r="J394">
            <v>-0.13248234570210116</v>
          </cell>
          <cell r="K394">
            <v>15843.538498537442</v>
          </cell>
          <cell r="M394">
            <v>13721.797485726171</v>
          </cell>
          <cell r="N394">
            <v>2605.9281139106652</v>
          </cell>
          <cell r="O394">
            <v>-1111.3554033166729</v>
          </cell>
          <cell r="P394">
            <v>627.16830221727832</v>
          </cell>
          <cell r="Q394">
            <v>-2.9654289456589343E-2</v>
          </cell>
        </row>
        <row r="395">
          <cell r="A395">
            <v>9954</v>
          </cell>
          <cell r="B395" t="str">
            <v>Phalen Leadership Academy at Louis</v>
          </cell>
          <cell r="C395">
            <v>113</v>
          </cell>
          <cell r="D395">
            <v>5.9782982483057084E-4</v>
          </cell>
          <cell r="E395">
            <v>18183.74519854828</v>
          </cell>
          <cell r="G395">
            <v>213</v>
          </cell>
          <cell r="H395">
            <v>1.8558824503224706E-4</v>
          </cell>
          <cell r="I395">
            <v>1411.2249085550955</v>
          </cell>
          <cell r="K395">
            <v>19594.970107103374</v>
          </cell>
          <cell r="M395">
            <v>0</v>
          </cell>
          <cell r="N395">
            <v>0</v>
          </cell>
          <cell r="O395">
            <v>18183.74519854828</v>
          </cell>
          <cell r="P395">
            <v>1411.2249085550955</v>
          </cell>
          <cell r="Q395" t="e">
            <v>#DIV/0!</v>
          </cell>
        </row>
        <row r="396">
          <cell r="A396">
            <v>9955</v>
          </cell>
          <cell r="B396" t="str">
            <v>Mays Community Academy</v>
          </cell>
          <cell r="C396">
            <v>34</v>
          </cell>
          <cell r="D396">
            <v>1.7987800039149919E-4</v>
          </cell>
          <cell r="E396">
            <v>5471.215369474703</v>
          </cell>
          <cell r="F396">
            <v>1184.9469919170015</v>
          </cell>
          <cell r="G396">
            <v>193</v>
          </cell>
          <cell r="H396">
            <v>1.6816211873813935E-4</v>
          </cell>
          <cell r="I396">
            <v>1278.7155274701099</v>
          </cell>
          <cell r="J396">
            <v>221.72366596031247</v>
          </cell>
          <cell r="K396">
            <v>8156.6015548221267</v>
          </cell>
          <cell r="M396">
            <v>7149.2269883483987</v>
          </cell>
          <cell r="N396">
            <v>1441.9320050352489</v>
          </cell>
          <cell r="O396">
            <v>-493.06462695669416</v>
          </cell>
          <cell r="P396">
            <v>58.507188395173443</v>
          </cell>
          <cell r="Q396">
            <v>-5.0581934160011312E-2</v>
          </cell>
        </row>
        <row r="397">
          <cell r="A397">
            <v>9960</v>
          </cell>
          <cell r="B397" t="str">
            <v>Success Academy Primary School</v>
          </cell>
          <cell r="C397">
            <v>195</v>
          </cell>
          <cell r="D397">
            <v>1.0316532375394805E-3</v>
          </cell>
          <cell r="E397">
            <v>31379.029324928444</v>
          </cell>
          <cell r="F397">
            <v>156.67277775119874</v>
          </cell>
          <cell r="G397">
            <v>624</v>
          </cell>
          <cell r="H397">
            <v>5.4369514037616031E-4</v>
          </cell>
          <cell r="I397">
            <v>4134.2926898515461</v>
          </cell>
          <cell r="J397">
            <v>-0.21874667684096494</v>
          </cell>
          <cell r="K397">
            <v>35669.776045854349</v>
          </cell>
          <cell r="M397">
            <v>36538.294562901938</v>
          </cell>
          <cell r="N397">
            <v>4021.3163866324767</v>
          </cell>
          <cell r="O397">
            <v>-5002.5924602222949</v>
          </cell>
          <cell r="P397">
            <v>112.75755654222849</v>
          </cell>
          <cell r="Q397">
            <v>-0.12055921615629296</v>
          </cell>
        </row>
        <row r="398">
          <cell r="A398">
            <v>9965</v>
          </cell>
          <cell r="B398" t="str">
            <v>Career Academy Middle School</v>
          </cell>
          <cell r="C398">
            <v>104</v>
          </cell>
          <cell r="D398">
            <v>5.5021506002105632E-4</v>
          </cell>
          <cell r="E398">
            <v>16735.482306628506</v>
          </cell>
          <cell r="F398">
            <v>75.240600567503861</v>
          </cell>
          <cell r="G398">
            <v>365</v>
          </cell>
          <cell r="H398">
            <v>3.180268048674656E-4</v>
          </cell>
          <cell r="I398">
            <v>2418.2962048009849</v>
          </cell>
          <cell r="J398">
            <v>-0.11842800821614219</v>
          </cell>
          <cell r="K398">
            <v>19228.900683988781</v>
          </cell>
          <cell r="M398">
            <v>17551.128794308032</v>
          </cell>
          <cell r="N398">
            <v>2248.7663504871261</v>
          </cell>
          <cell r="O398">
            <v>-740.40588711202145</v>
          </cell>
          <cell r="P398">
            <v>169.41142630564264</v>
          </cell>
          <cell r="Q398">
            <v>-2.8838256800389036E-2</v>
          </cell>
        </row>
        <row r="399">
          <cell r="A399">
            <v>9970</v>
          </cell>
          <cell r="B399" t="str">
            <v>ACE Preparatory Academy</v>
          </cell>
          <cell r="C399">
            <v>48</v>
          </cell>
          <cell r="D399">
            <v>2.5394541231741062E-4</v>
          </cell>
          <cell r="E399">
            <v>7724.0687569054644</v>
          </cell>
          <cell r="F399">
            <v>3531.5771925960853</v>
          </cell>
          <cell r="G399">
            <v>164</v>
          </cell>
          <cell r="H399">
            <v>1.4289423561168318E-4</v>
          </cell>
          <cell r="I399">
            <v>1086.5769248968809</v>
          </cell>
          <cell r="J399">
            <v>523.10159474266072</v>
          </cell>
          <cell r="K399">
            <v>12865.324469141091</v>
          </cell>
          <cell r="M399">
            <v>6990.3552774962118</v>
          </cell>
          <cell r="N399">
            <v>1084.756187274224</v>
          </cell>
          <cell r="O399">
            <v>4265.2906720053379</v>
          </cell>
          <cell r="P399">
            <v>524.92233236531774</v>
          </cell>
          <cell r="Q399">
            <v>0.59320704429518789</v>
          </cell>
        </row>
        <row r="400">
          <cell r="A400">
            <v>9975</v>
          </cell>
          <cell r="B400" t="str">
            <v>Global Preparatory Academy</v>
          </cell>
          <cell r="C400">
            <v>254</v>
          </cell>
          <cell r="D400">
            <v>1.3437944735129645E-3</v>
          </cell>
          <cell r="E400">
            <v>40873.197171958076</v>
          </cell>
          <cell r="F400">
            <v>18501.327443390601</v>
          </cell>
          <cell r="G400">
            <v>597</v>
          </cell>
          <cell r="H400">
            <v>5.2016986987911493E-4</v>
          </cell>
          <cell r="I400">
            <v>3955.4050253868163</v>
          </cell>
          <cell r="J400">
            <v>1835.9941227443301</v>
          </cell>
          <cell r="K400">
            <v>65165.923763479826</v>
          </cell>
          <cell r="M400">
            <v>41624.388243272901</v>
          </cell>
          <cell r="N400">
            <v>4153.8224732208082</v>
          </cell>
          <cell r="O400">
            <v>17750.13637207578</v>
          </cell>
          <cell r="P400">
            <v>1637.5766749103377</v>
          </cell>
          <cell r="Q400">
            <v>0.42351399811266105</v>
          </cell>
        </row>
        <row r="401">
          <cell r="A401">
            <v>9980</v>
          </cell>
          <cell r="B401" t="str">
            <v>Steel City Academy</v>
          </cell>
          <cell r="C401">
            <v>220</v>
          </cell>
          <cell r="D401">
            <v>1.1639164731214653E-3</v>
          </cell>
          <cell r="E401">
            <v>35401.981802483373</v>
          </cell>
          <cell r="F401">
            <v>122.3131829983904</v>
          </cell>
          <cell r="G401">
            <v>396</v>
          </cell>
          <cell r="H401">
            <v>3.4503730062333251E-4</v>
          </cell>
          <cell r="I401">
            <v>2623.6857454827123</v>
          </cell>
          <cell r="J401">
            <v>919.98856885117175</v>
          </cell>
          <cell r="K401">
            <v>39067.969299815646</v>
          </cell>
          <cell r="M401">
            <v>32092.085592141699</v>
          </cell>
          <cell r="N401">
            <v>2976.4651480085413</v>
          </cell>
          <cell r="O401">
            <v>3432.2093933400647</v>
          </cell>
          <cell r="P401">
            <v>567.20916632534272</v>
          </cell>
          <cell r="Q401">
            <v>0.11404573257960283</v>
          </cell>
        </row>
        <row r="402">
          <cell r="A402">
            <v>9985</v>
          </cell>
          <cell r="B402" t="str">
            <v>Seven Oaks Classical School</v>
          </cell>
          <cell r="C402">
            <v>33</v>
          </cell>
          <cell r="D402">
            <v>1.745874709682198E-4</v>
          </cell>
          <cell r="E402">
            <v>5310.2972703725063</v>
          </cell>
          <cell r="F402">
            <v>2501.1876484526802</v>
          </cell>
          <cell r="G402">
            <v>387</v>
          </cell>
          <cell r="H402">
            <v>3.3719554379098407E-4</v>
          </cell>
          <cell r="I402">
            <v>2564.056523994469</v>
          </cell>
          <cell r="J402">
            <v>792.75458392989549</v>
          </cell>
          <cell r="K402">
            <v>11168.296026749551</v>
          </cell>
          <cell r="M402">
            <v>5878.2533015309045</v>
          </cell>
          <cell r="N402">
            <v>2341.4859164333861</v>
          </cell>
          <cell r="O402">
            <v>1933.2316172942819</v>
          </cell>
          <cell r="P402">
            <v>1015.3251914909783</v>
          </cell>
          <cell r="Q402">
            <v>0.35871658827583863</v>
          </cell>
        </row>
        <row r="403">
          <cell r="A403">
            <v>9990</v>
          </cell>
          <cell r="B403" t="str">
            <v>Higher Institute of Arts &amp; Tech</v>
          </cell>
          <cell r="C403">
            <v>67</v>
          </cell>
          <cell r="D403">
            <v>3.5446547135971899E-4</v>
          </cell>
          <cell r="E403">
            <v>10781.512639847209</v>
          </cell>
          <cell r="F403">
            <v>-4822.5034628091944</v>
          </cell>
          <cell r="G403">
            <v>235</v>
          </cell>
          <cell r="H403">
            <v>2.0475698395576553E-4</v>
          </cell>
          <cell r="I403">
            <v>1556.9852277485793</v>
          </cell>
          <cell r="J403">
            <v>235.48488696322579</v>
          </cell>
          <cell r="K403">
            <v>7751.4792917498198</v>
          </cell>
          <cell r="M403">
            <v>9214.5592294268245</v>
          </cell>
          <cell r="N403">
            <v>1554.3762439600162</v>
          </cell>
          <cell r="O403">
            <v>-3255.5500523888095</v>
          </cell>
          <cell r="P403">
            <v>238.09387075178893</v>
          </cell>
          <cell r="Q403">
            <v>-0.28020004290062178</v>
          </cell>
        </row>
        <row r="404">
          <cell r="A404">
            <v>9995</v>
          </cell>
          <cell r="B404" t="str">
            <v>Excel Center - Shelbyville</v>
          </cell>
          <cell r="C404">
            <v>4</v>
          </cell>
          <cell r="D404">
            <v>2.1162117693117549E-5</v>
          </cell>
          <cell r="E404">
            <v>643.67239640878859</v>
          </cell>
          <cell r="F404">
            <v>2.0542183597633539</v>
          </cell>
          <cell r="G404">
            <v>46</v>
          </cell>
          <cell r="H404">
            <v>4.008009047644772E-5</v>
          </cell>
          <cell r="I404">
            <v>304.7715764954666</v>
          </cell>
          <cell r="J404">
            <v>-1.3302929794662077E-2</v>
          </cell>
          <cell r="K404">
            <v>950.4848883342238</v>
          </cell>
          <cell r="M404">
            <v>478.66935091632325</v>
          </cell>
          <cell r="N404">
            <v>264.56137689318678</v>
          </cell>
          <cell r="O404">
            <v>167.05726385222869</v>
          </cell>
          <cell r="P404">
            <v>40.196896672485195</v>
          </cell>
          <cell r="Q404">
            <v>0.27885574797956031</v>
          </cell>
        </row>
      </sheetData>
      <sheetData sheetId="7"/>
      <sheetData sheetId="8"/>
      <sheetData sheetId="9">
        <row r="3">
          <cell r="B3">
            <v>34683006.011</v>
          </cell>
        </row>
      </sheetData>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1997D6E-3D0A-4920-9A3F-1A22B7486F52}" autoFormatId="16" applyNumberFormats="0" applyBorderFormats="0" applyFontFormats="0" applyPatternFormats="0" applyAlignmentFormats="0" applyWidthHeightFormats="0">
  <queryTableRefresh nextId="6">
    <queryTableFields count="5">
      <queryTableField id="1" name="$500 stipend for department chair" tableColumnId="1"/>
      <queryTableField id="2" name="1" tableColumnId="2"/>
      <queryTableField id="3" name="Instruction: Salary (Cert./Non Cert.)" tableColumnId="3"/>
      <queryTableField id="4" name="Yes" tableColumnId="4"/>
      <queryTableField id="5" name=" $2,000.75 "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86AAE5-B085-4413-8AEE-70D3A0146B33}" name="Table13_2" displayName="Table13_2" ref="A1:E32" tableType="queryTable" totalsRowShown="0">
  <autoFilter ref="A1:E32" xr:uid="{A0A2EAE5-70AF-4FD3-ADC3-ABDAB57212B2}"/>
  <tableColumns count="5">
    <tableColumn id="1" xr3:uid="{9FC47FF0-CE6F-47D7-AC12-88EC2A480C28}" uniqueName="1" name="$500 stipend for department chair" queryTableFieldId="1" dataDxfId="212"/>
    <tableColumn id="2" xr3:uid="{E8B7B878-B367-4277-94EC-4E367C6BC913}" uniqueName="2" name="1" queryTableFieldId="2" dataDxfId="211"/>
    <tableColumn id="3" xr3:uid="{D786FDB0-306F-4CDB-ACA1-67E02E8E9EF4}" uniqueName="3" name="Instruction: Salary (Cert./Non Cert.)" queryTableFieldId="3" dataDxfId="210"/>
    <tableColumn id="4" xr3:uid="{97A9FBAB-7BF7-424E-A30A-C96B2C4F8ED7}" uniqueName="4" name="Yes" queryTableFieldId="4" dataDxfId="209"/>
    <tableColumn id="5" xr3:uid="{8CC6A8BB-9855-4CB8-AE27-42ADA8F034D7}" uniqueName="5" name=" $2,000.75 " queryTableField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D112" totalsRowCount="1" headerRowDxfId="198" dataDxfId="197" totalsRowDxfId="196">
  <tableColumns count="4">
    <tableColumn id="1" xr3:uid="{00000000-0010-0000-0100-000001000000}" name="Ex: Sample Nonpublic School" dataDxfId="195" totalsRowDxfId="194"/>
    <tableColumn id="2" xr3:uid="{00000000-0010-0000-0100-000002000000}" name="10 Copies of mentor text to improve reading instruction" dataDxfId="193" totalsRowDxfId="192"/>
    <tableColumn id="3" xr3:uid="{00000000-0010-0000-0100-000003000000}" name="Improvement of Instruction: General Supplies" totalsRowLabel="Total Nonpublic Budget" dataDxfId="191" totalsRowDxfId="190"/>
    <tableColumn id="4" xr3:uid="{00000000-0010-0000-0100-000004000000}" name=" $2,000.75 " totalsRowFunction="custom" dataDxfId="189" totalsRowDxfId="188" dataCellStyle="Currency">
      <totalsRowFormula>SUM(D6:D111)</totalsRowFormula>
    </tableColumn>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1CB1088-D1C0-482B-B564-93ED613EB6E5}" name="Table179" displayName="Table179" ref="A5:D112" totalsRowCount="1" headerRowDxfId="120" dataDxfId="119" totalsRowDxfId="118">
  <tableColumns count="4">
    <tableColumn id="1" xr3:uid="{5419DD5D-A862-4007-BE1A-7AEA2D75704B}" name="Ex: Sample Nonpublic School" dataDxfId="117" totalsRowDxfId="116"/>
    <tableColumn id="2" xr3:uid="{45B079C0-194E-4327-BB10-A921389B64ED}" name="10 copies of mentor texts to improve reading instruction" dataDxfId="115" totalsRowDxfId="114"/>
    <tableColumn id="3" xr3:uid="{C8E30079-7B80-4713-9E1C-19113907F696}" name="Improvement of Instruction: General Supplies" totalsRowLabel="Total Nonpublic Budget" dataDxfId="113" totalsRowDxfId="112"/>
    <tableColumn id="4" xr3:uid="{580FE956-5EA7-44B2-B745-3C3E327D803B}" name=" $2,000.75 " totalsRowFunction="custom" dataDxfId="111" totalsRowDxfId="110" dataCellStyle="Currency">
      <totalsRowFormula>SUM(D6:D111)</totalsRowFormula>
    </tableColumn>
  </tableColumns>
  <tableStyleInfo name="TableStyleMedium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AE100E8-A0CC-43F0-B09F-CDA12562FF90}" name="Table17911" displayName="Table17911" ref="A5:D112" totalsRowCount="1" headerRowDxfId="73" dataDxfId="72" totalsRowDxfId="71">
  <tableColumns count="4">
    <tableColumn id="1" xr3:uid="{1597F1E7-9CEC-4CEE-9FAD-9AF0D9A3E718}" name="Ex: Sample Nonpublic School" dataDxfId="70" totalsRowDxfId="69"/>
    <tableColumn id="2" xr3:uid="{07DEA7E8-8A41-45D5-AE0E-4B9EDD45092F}" name="10 copies of mentor texts to improve reading instruction" dataDxfId="68" totalsRowDxfId="67"/>
    <tableColumn id="3" xr3:uid="{74BFF0B2-AF76-4278-A32B-7918764F6793}" name="Other Support Services-Admin: General Supplies" totalsRowLabel="Total Nonpublic Budget" dataDxfId="66" totalsRowDxfId="65"/>
    <tableColumn id="4" xr3:uid="{17D963D4-CB94-4FA3-9C2A-EC73658A4DB2}" name=" $2,000.75 " totalsRowFunction="custom" dataDxfId="64" totalsRowDxfId="63" dataCellStyle="Currency">
      <totalsRowFormula>SUM(D6:D111)</totalsRowFormula>
    </tableColumn>
  </tableColumns>
  <tableStyleInfo name="TableStyleMedium1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86BD9E6-0772-4C2F-9DA8-0075669999CA}" name="Table179113" displayName="Table179113" ref="A5:D112" totalsRowCount="1" headerRowDxfId="28" dataDxfId="27" totalsRowDxfId="26">
  <tableColumns count="4">
    <tableColumn id="1" xr3:uid="{A4C9F39D-9495-42AA-B5CD-2F165CA4B329}" name="Ex: Sample Nonpublic School" dataDxfId="25" totalsRowDxfId="24"/>
    <tableColumn id="2" xr3:uid="{5D6DE926-9E26-4FF1-9375-9CC4B5DB3D5F}" name="10 copies of mentor texts to improve reading instruction" dataDxfId="23" totalsRowDxfId="22"/>
    <tableColumn id="3" xr3:uid="{40C9E883-8F38-4850-9AB7-EDA1B4C99F8A}" name="Other Support Services-Admin: General Supplies" totalsRowLabel="Total Nonpublic Budget" dataDxfId="21" totalsRowDxfId="20"/>
    <tableColumn id="4" xr3:uid="{D13BBBE0-E43A-437A-9FCE-70F5AFDE3466}" name=" $2,000.75 " totalsRowFunction="custom" dataDxfId="19" totalsRowDxfId="18" dataCellStyle="Currency">
      <totalsRowFormula>SUM(D6:D111)</totalsRowFormula>
    </tableColumn>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jotform.com/212095777148969" TargetMode="External"/><Relationship Id="rId1" Type="http://schemas.openxmlformats.org/officeDocument/2006/relationships/hyperlink" Target="https://form.jotform.com/200973852691968"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8.bin"/><Relationship Id="rId1" Type="http://schemas.openxmlformats.org/officeDocument/2006/relationships/hyperlink" Target="mailto:title2a@doe.in.gov" TargetMode="External"/><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10.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printerSettings" Target="../printerSettings/printerSettings14.bin"/><Relationship Id="rId1" Type="http://schemas.openxmlformats.org/officeDocument/2006/relationships/hyperlink" Target="mailto:title2a@doe.in.gov" TargetMode="External"/><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8.v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0.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printerSettings" Target="../printerSettings/printerSettings21.bin"/><Relationship Id="rId1" Type="http://schemas.openxmlformats.org/officeDocument/2006/relationships/hyperlink" Target="mailto:title2a@doe.in.gov" TargetMode="External"/><Relationship Id="rId4" Type="http://schemas.openxmlformats.org/officeDocument/2006/relationships/comments" Target="../comments21.xml"/></Relationships>
</file>

<file path=xl/worksheets/_rels/sheet2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3.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23.xml"/><Relationship Id="rId1" Type="http://schemas.openxmlformats.org/officeDocument/2006/relationships/vmlDrawing" Target="../drawings/vmlDrawing24.vml"/></Relationships>
</file>

<file path=xl/worksheets/_rels/sheet29.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5.vml"/><Relationship Id="rId1" Type="http://schemas.openxmlformats.org/officeDocument/2006/relationships/printerSettings" Target="../printerSettings/printerSettings23.bin"/><Relationship Id="rId4" Type="http://schemas.openxmlformats.org/officeDocument/2006/relationships/comments" Target="../comments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2.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www2.ed.gov/policy/elsec/leg/essa/essatitleiipartaguidance.pdf" TargetMode="External"/><Relationship Id="rId1" Type="http://schemas.openxmlformats.org/officeDocument/2006/relationships/hyperlink" Target="https://www.youtube.com/watch?v=f06W2Xm6FZs&amp;feature=youtu.be"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3.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6.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7.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8.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9.vml"/><Relationship Id="rId2" Type="http://schemas.openxmlformats.org/officeDocument/2006/relationships/printerSettings" Target="../printerSettings/printerSettings27.bin"/><Relationship Id="rId1" Type="http://schemas.openxmlformats.org/officeDocument/2006/relationships/hyperlink" Target="mailto:title2a@doe.in.gov" TargetMode="External"/><Relationship Id="rId4" Type="http://schemas.openxmlformats.org/officeDocument/2006/relationships/comments" Target="../comments28.xml"/></Relationships>
</file>

<file path=xl/worksheets/_rels/sheet34.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30.vml"/><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30.xml"/><Relationship Id="rId1" Type="http://schemas.openxmlformats.org/officeDocument/2006/relationships/vmlDrawing" Target="../drawings/vmlDrawing31.vml"/></Relationships>
</file>

<file path=xl/worksheets/_rels/sheet36.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2.vml"/><Relationship Id="rId1" Type="http://schemas.openxmlformats.org/officeDocument/2006/relationships/printerSettings" Target="../printerSettings/printerSettings29.bin"/><Relationship Id="rId4" Type="http://schemas.openxmlformats.org/officeDocument/2006/relationships/comments" Target="../comments31.xml"/></Relationships>
</file>

<file path=xl/worksheets/_rels/sheet37.xml.rels><?xml version="1.0" encoding="UTF-8" standalone="yes"?>
<Relationships xmlns="http://schemas.openxmlformats.org/package/2006/relationships"><Relationship Id="rId3" Type="http://schemas.openxmlformats.org/officeDocument/2006/relationships/comments" Target="../comments32.xml"/><Relationship Id="rId2" Type="http://schemas.openxmlformats.org/officeDocument/2006/relationships/vmlDrawing" Target="../drawings/vmlDrawing33.vml"/><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33.xml"/><Relationship Id="rId2" Type="http://schemas.openxmlformats.org/officeDocument/2006/relationships/vmlDrawing" Target="../drawings/vmlDrawing34.vml"/><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34.xml"/><Relationship Id="rId2" Type="http://schemas.openxmlformats.org/officeDocument/2006/relationships/vmlDrawing" Target="../drawings/vmlDrawing35.vml"/><Relationship Id="rId1" Type="http://schemas.openxmlformats.org/officeDocument/2006/relationships/printerSettings" Target="../printerSettings/printerSettings32.bin"/></Relationships>
</file>

<file path=xl/worksheets/_rels/sheet40.xml.rels><?xml version="1.0" encoding="UTF-8" standalone="yes"?>
<Relationships xmlns="http://schemas.openxmlformats.org/package/2006/relationships"><Relationship Id="rId3" Type="http://schemas.openxmlformats.org/officeDocument/2006/relationships/vmlDrawing" Target="../drawings/vmlDrawing36.vml"/><Relationship Id="rId2" Type="http://schemas.openxmlformats.org/officeDocument/2006/relationships/printerSettings" Target="../printerSettings/printerSettings33.bin"/><Relationship Id="rId1" Type="http://schemas.openxmlformats.org/officeDocument/2006/relationships/hyperlink" Target="mailto:title2a@doe.in.gov" TargetMode="External"/><Relationship Id="rId4" Type="http://schemas.openxmlformats.org/officeDocument/2006/relationships/comments" Target="../comments35.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V53"/>
  <sheetViews>
    <sheetView showGridLines="0" zoomScaleNormal="100" workbookViewId="0">
      <selection activeCell="O2" sqref="O2:V7"/>
    </sheetView>
  </sheetViews>
  <sheetFormatPr defaultColWidth="8.88671875" defaultRowHeight="14.4" x14ac:dyDescent="0.3"/>
  <cols>
    <col min="1" max="1" width="8.88671875" style="14"/>
    <col min="2" max="2" width="11.44140625" style="14" customWidth="1"/>
    <col min="3" max="4" width="8.88671875" style="14"/>
    <col min="5" max="5" width="13.77734375" style="14" customWidth="1"/>
    <col min="6" max="13" width="8.88671875" style="14"/>
    <col min="14" max="14" width="3.109375" style="14" customWidth="1"/>
    <col min="15" max="16384" width="8.88671875" style="14"/>
  </cols>
  <sheetData>
    <row r="1" spans="1:22" ht="29.4" customHeight="1" thickBot="1" x14ac:dyDescent="0.35">
      <c r="A1" s="434" t="s">
        <v>114</v>
      </c>
      <c r="B1" s="434"/>
      <c r="C1" s="434"/>
      <c r="D1" s="434"/>
      <c r="E1" s="434"/>
      <c r="F1" s="434"/>
      <c r="G1" s="434"/>
      <c r="H1" s="434"/>
      <c r="I1" s="434"/>
      <c r="J1" s="434"/>
      <c r="K1" s="434"/>
      <c r="L1" s="434"/>
      <c r="M1" s="434"/>
      <c r="O1" s="424" t="s">
        <v>120</v>
      </c>
      <c r="P1" s="425"/>
      <c r="Q1" s="425"/>
      <c r="R1" s="425"/>
      <c r="S1" s="425"/>
      <c r="T1" s="425"/>
      <c r="U1" s="425"/>
      <c r="V1" s="426"/>
    </row>
    <row r="2" spans="1:22" x14ac:dyDescent="0.3">
      <c r="A2" s="435" t="s">
        <v>113</v>
      </c>
      <c r="B2" s="435"/>
      <c r="C2" s="435"/>
      <c r="D2" s="435"/>
      <c r="E2" s="435"/>
      <c r="F2" s="435"/>
      <c r="G2" s="435"/>
      <c r="H2" s="435"/>
      <c r="I2" s="435"/>
      <c r="J2" s="435"/>
      <c r="K2" s="435"/>
      <c r="L2" s="435"/>
      <c r="M2" s="435"/>
      <c r="O2" s="427" t="s">
        <v>2552</v>
      </c>
      <c r="P2" s="428"/>
      <c r="Q2" s="428"/>
      <c r="R2" s="428"/>
      <c r="S2" s="428"/>
      <c r="T2" s="428"/>
      <c r="U2" s="428"/>
      <c r="V2" s="429"/>
    </row>
    <row r="3" spans="1:22" s="38" customFormat="1" ht="6.6" customHeight="1" x14ac:dyDescent="0.3">
      <c r="A3" s="35"/>
      <c r="B3" s="36"/>
      <c r="C3" s="36"/>
      <c r="D3" s="36"/>
      <c r="E3" s="36"/>
      <c r="F3" s="36"/>
      <c r="G3" s="36"/>
      <c r="H3" s="36"/>
      <c r="I3" s="36"/>
      <c r="J3" s="36"/>
      <c r="K3" s="36"/>
      <c r="L3" s="36"/>
      <c r="M3" s="37"/>
      <c r="O3" s="430"/>
      <c r="P3" s="428"/>
      <c r="Q3" s="428"/>
      <c r="R3" s="428"/>
      <c r="S3" s="428"/>
      <c r="T3" s="428"/>
      <c r="U3" s="428"/>
      <c r="V3" s="429"/>
    </row>
    <row r="4" spans="1:22" x14ac:dyDescent="0.3">
      <c r="A4" s="448" t="s">
        <v>78</v>
      </c>
      <c r="B4" s="449"/>
      <c r="C4" s="450"/>
      <c r="D4" s="450"/>
      <c r="E4" s="450"/>
      <c r="F4" s="450"/>
      <c r="G4" s="450"/>
      <c r="H4" s="450"/>
      <c r="I4" s="450"/>
      <c r="J4" s="450"/>
      <c r="K4" s="450"/>
      <c r="L4" s="450"/>
      <c r="M4" s="451"/>
      <c r="O4" s="430"/>
      <c r="P4" s="428"/>
      <c r="Q4" s="428"/>
      <c r="R4" s="428"/>
      <c r="S4" s="428"/>
      <c r="T4" s="428"/>
      <c r="U4" s="428"/>
      <c r="V4" s="429"/>
    </row>
    <row r="5" spans="1:22" s="38" customFormat="1" ht="15.6" customHeight="1" x14ac:dyDescent="0.3">
      <c r="A5" s="35"/>
      <c r="B5" s="36"/>
      <c r="C5" s="442" t="s">
        <v>1979</v>
      </c>
      <c r="D5" s="442"/>
      <c r="E5" s="442"/>
      <c r="F5" s="442"/>
      <c r="G5" s="442"/>
      <c r="H5" s="442"/>
      <c r="I5" s="442"/>
      <c r="J5" s="442"/>
      <c r="K5" s="442"/>
      <c r="L5" s="442"/>
      <c r="M5" s="443"/>
      <c r="O5" s="430"/>
      <c r="P5" s="428"/>
      <c r="Q5" s="428"/>
      <c r="R5" s="428"/>
      <c r="S5" s="428"/>
      <c r="T5" s="428"/>
      <c r="U5" s="428"/>
      <c r="V5" s="429"/>
    </row>
    <row r="6" spans="1:22" s="38" customFormat="1" ht="15.6" customHeight="1" thickBot="1" x14ac:dyDescent="0.35">
      <c r="A6" s="393" t="s">
        <v>96</v>
      </c>
      <c r="B6" s="393"/>
      <c r="C6" s="394"/>
      <c r="D6" s="394"/>
      <c r="E6" s="394"/>
      <c r="F6" s="150" t="s">
        <v>98</v>
      </c>
      <c r="G6" s="444"/>
      <c r="H6" s="445"/>
      <c r="I6" s="445"/>
      <c r="J6" s="151" t="s">
        <v>119</v>
      </c>
      <c r="K6" s="394"/>
      <c r="L6" s="394"/>
      <c r="M6" s="397"/>
      <c r="O6" s="430"/>
      <c r="P6" s="428"/>
      <c r="Q6" s="428"/>
      <c r="R6" s="428"/>
      <c r="S6" s="428"/>
      <c r="T6" s="428"/>
      <c r="U6" s="428"/>
      <c r="V6" s="429"/>
    </row>
    <row r="7" spans="1:22" s="38" customFormat="1" ht="15.6" customHeight="1" thickBot="1" x14ac:dyDescent="0.35">
      <c r="A7" s="393" t="s">
        <v>97</v>
      </c>
      <c r="B7" s="393"/>
      <c r="C7" s="452"/>
      <c r="D7" s="452"/>
      <c r="E7" s="452"/>
      <c r="F7" s="150" t="s">
        <v>98</v>
      </c>
      <c r="G7" s="446"/>
      <c r="H7" s="447"/>
      <c r="I7" s="447"/>
      <c r="J7" s="151" t="s">
        <v>119</v>
      </c>
      <c r="K7" s="394"/>
      <c r="L7" s="394"/>
      <c r="M7" s="397"/>
      <c r="O7" s="431"/>
      <c r="P7" s="432"/>
      <c r="Q7" s="432"/>
      <c r="R7" s="432"/>
      <c r="S7" s="432"/>
      <c r="T7" s="432"/>
      <c r="U7" s="432"/>
      <c r="V7" s="433"/>
    </row>
    <row r="8" spans="1:22" s="38" customFormat="1" ht="15.6" customHeight="1" thickBot="1" x14ac:dyDescent="0.35">
      <c r="A8" s="393" t="s">
        <v>118</v>
      </c>
      <c r="B8" s="393"/>
      <c r="C8" s="452"/>
      <c r="D8" s="452"/>
      <c r="E8" s="452"/>
      <c r="F8" s="150" t="s">
        <v>98</v>
      </c>
      <c r="G8" s="446"/>
      <c r="H8" s="447"/>
      <c r="I8" s="447"/>
      <c r="J8" s="151" t="s">
        <v>119</v>
      </c>
      <c r="K8" s="395"/>
      <c r="L8" s="395"/>
      <c r="M8" s="396"/>
    </row>
    <row r="9" spans="1:22" ht="16.2" customHeight="1" thickBot="1" x14ac:dyDescent="0.35">
      <c r="A9" s="436" t="s">
        <v>30</v>
      </c>
      <c r="B9" s="437"/>
      <c r="C9" s="437"/>
      <c r="D9" s="437"/>
      <c r="E9" s="438"/>
      <c r="F9" s="438"/>
      <c r="G9" s="439" t="str">
        <f>IFERROR(VLOOKUP(C4,allocations2021,12,FALSE),"")</f>
        <v/>
      </c>
      <c r="H9" s="440"/>
      <c r="I9" s="440"/>
      <c r="J9" s="440"/>
      <c r="K9" s="440"/>
      <c r="L9" s="440"/>
      <c r="M9" s="441"/>
    </row>
    <row r="10" spans="1:22" ht="16.2" customHeight="1" thickBot="1" x14ac:dyDescent="0.35">
      <c r="A10" s="398" t="s">
        <v>1999</v>
      </c>
      <c r="B10" s="399"/>
      <c r="C10" s="399"/>
      <c r="D10" s="399"/>
      <c r="E10" s="399"/>
      <c r="F10" s="399"/>
      <c r="G10" s="405">
        <f>SUM(E19:E24)</f>
        <v>0</v>
      </c>
      <c r="H10" s="392"/>
      <c r="I10" s="391"/>
      <c r="J10" s="391"/>
      <c r="K10" s="391"/>
      <c r="L10" s="391"/>
      <c r="M10" s="392"/>
      <c r="O10" s="409" t="s">
        <v>1983</v>
      </c>
      <c r="P10" s="410"/>
      <c r="Q10" s="410"/>
      <c r="R10" s="410"/>
      <c r="S10" s="410"/>
      <c r="T10" s="410"/>
      <c r="U10" s="410"/>
      <c r="V10" s="411"/>
    </row>
    <row r="11" spans="1:22" ht="16.2" customHeight="1" thickBot="1" x14ac:dyDescent="0.35">
      <c r="A11" s="159"/>
      <c r="B11" s="160"/>
      <c r="C11" s="160"/>
      <c r="D11" s="160"/>
      <c r="E11" s="160"/>
      <c r="F11" s="160" t="s">
        <v>2000</v>
      </c>
      <c r="G11" s="422"/>
      <c r="H11" s="423"/>
      <c r="I11" s="405" t="str">
        <f>IFERROR(ROUND(((G11/'Equitable Share'!F7)*'Equitable Share'!I56),2),"")</f>
        <v/>
      </c>
      <c r="J11" s="391"/>
      <c r="K11" s="161"/>
      <c r="L11" s="161"/>
      <c r="M11" s="175" t="s">
        <v>2001</v>
      </c>
      <c r="O11" s="412"/>
      <c r="P11" s="413"/>
      <c r="Q11" s="413"/>
      <c r="R11" s="413"/>
      <c r="S11" s="413"/>
      <c r="T11" s="413"/>
      <c r="U11" s="413"/>
      <c r="V11" s="414"/>
    </row>
    <row r="12" spans="1:22" ht="16.2" customHeight="1" thickBot="1" x14ac:dyDescent="0.35">
      <c r="A12" s="176"/>
      <c r="B12" s="177"/>
      <c r="C12" s="177"/>
      <c r="D12" s="177"/>
      <c r="E12" s="177"/>
      <c r="F12" s="182" t="s">
        <v>2004</v>
      </c>
      <c r="G12" s="400" t="str">
        <f>IFERROR(ROUND(G9-G10+G11,2),"")</f>
        <v/>
      </c>
      <c r="H12" s="401"/>
      <c r="I12" s="405"/>
      <c r="J12" s="391"/>
      <c r="K12" s="391"/>
      <c r="L12" s="391"/>
      <c r="M12" s="392"/>
      <c r="O12" s="415" t="s">
        <v>2067</v>
      </c>
      <c r="P12" s="416"/>
      <c r="Q12" s="416"/>
      <c r="R12" s="416"/>
      <c r="S12" s="416"/>
      <c r="T12" s="416"/>
      <c r="U12" s="416"/>
      <c r="V12" s="417"/>
    </row>
    <row r="13" spans="1:22" ht="16.2" customHeight="1" thickBot="1" x14ac:dyDescent="0.35">
      <c r="A13" s="398" t="s">
        <v>1988</v>
      </c>
      <c r="B13" s="399"/>
      <c r="C13" s="399"/>
      <c r="D13" s="399"/>
      <c r="E13" s="399"/>
      <c r="F13" s="399"/>
      <c r="G13" s="405" t="str">
        <f>'Equitable Share'!K56</f>
        <v xml:space="preserve"> </v>
      </c>
      <c r="H13" s="392"/>
      <c r="I13" s="391"/>
      <c r="J13" s="391"/>
      <c r="K13" s="391"/>
      <c r="L13" s="391"/>
      <c r="M13" s="392"/>
      <c r="O13" s="415"/>
      <c r="P13" s="416"/>
      <c r="Q13" s="416"/>
      <c r="R13" s="416"/>
      <c r="S13" s="416"/>
      <c r="T13" s="416"/>
      <c r="U13" s="416"/>
      <c r="V13" s="417"/>
    </row>
    <row r="14" spans="1:22" ht="16.2" customHeight="1" thickBot="1" x14ac:dyDescent="0.35">
      <c r="A14" s="421" t="s">
        <v>68</v>
      </c>
      <c r="B14" s="399"/>
      <c r="C14" s="399"/>
      <c r="D14" s="399"/>
      <c r="E14" s="399"/>
      <c r="F14" s="399"/>
      <c r="G14" s="403" t="str">
        <f>IFERROR(ROUND(G12-G13,2),"")</f>
        <v/>
      </c>
      <c r="H14" s="404"/>
      <c r="I14" s="403"/>
      <c r="J14" s="391"/>
      <c r="K14" s="391"/>
      <c r="L14" s="391"/>
      <c r="M14" s="392"/>
      <c r="O14" s="415"/>
      <c r="P14" s="416"/>
      <c r="Q14" s="416"/>
      <c r="R14" s="416"/>
      <c r="S14" s="416"/>
      <c r="T14" s="416"/>
      <c r="U14" s="416"/>
      <c r="V14" s="417"/>
    </row>
    <row r="15" spans="1:22" ht="19.2" customHeight="1" thickBot="1" x14ac:dyDescent="0.35">
      <c r="A15" s="421" t="s">
        <v>2002</v>
      </c>
      <c r="B15" s="399"/>
      <c r="C15" s="399"/>
      <c r="D15" s="399"/>
      <c r="E15" s="399"/>
      <c r="F15" s="399"/>
      <c r="G15" s="406">
        <f>'Main Budget'!M23</f>
        <v>0</v>
      </c>
      <c r="H15" s="407"/>
      <c r="I15" s="403" t="str">
        <f>IFERROR(ROUND((G12)*0.03,2),"")</f>
        <v/>
      </c>
      <c r="J15" s="404"/>
      <c r="K15" s="149" t="s">
        <v>401</v>
      </c>
      <c r="L15" s="25"/>
      <c r="M15" s="26"/>
      <c r="O15" s="415"/>
      <c r="P15" s="416"/>
      <c r="Q15" s="416"/>
      <c r="R15" s="416"/>
      <c r="S15" s="416"/>
      <c r="T15" s="416"/>
      <c r="U15" s="416"/>
      <c r="V15" s="417"/>
    </row>
    <row r="16" spans="1:22" ht="16.2" customHeight="1" thickBot="1" x14ac:dyDescent="0.35">
      <c r="A16" s="15"/>
      <c r="B16" s="402" t="str">
        <f>IFERROR('Main Budget'!H27," ")</f>
        <v/>
      </c>
      <c r="C16" s="402"/>
      <c r="D16" s="402"/>
      <c r="E16" s="16"/>
      <c r="F16" s="402" t="str">
        <f>IFERROR('Main Budget'!H28," ")</f>
        <v/>
      </c>
      <c r="G16" s="402"/>
      <c r="H16" s="402"/>
      <c r="I16" s="16"/>
      <c r="J16" s="402" t="str">
        <f>IFERROR('Main Budget'!H29,"")</f>
        <v/>
      </c>
      <c r="K16" s="402"/>
      <c r="L16" s="402"/>
      <c r="M16" s="17"/>
      <c r="O16" s="415"/>
      <c r="P16" s="416"/>
      <c r="Q16" s="416"/>
      <c r="R16" s="416"/>
      <c r="S16" s="416"/>
      <c r="T16" s="416"/>
      <c r="U16" s="416"/>
      <c r="V16" s="417"/>
    </row>
    <row r="17" spans="1:22" ht="16.2" customHeight="1" x14ac:dyDescent="0.3">
      <c r="A17" s="15"/>
      <c r="B17" s="408" t="s">
        <v>115</v>
      </c>
      <c r="C17" s="408"/>
      <c r="D17" s="408"/>
      <c r="E17" s="16"/>
      <c r="F17" s="408" t="s">
        <v>116</v>
      </c>
      <c r="G17" s="408"/>
      <c r="H17" s="408"/>
      <c r="I17" s="16"/>
      <c r="J17" s="408" t="s">
        <v>117</v>
      </c>
      <c r="K17" s="408"/>
      <c r="L17" s="408"/>
      <c r="M17" s="17"/>
      <c r="O17" s="415"/>
      <c r="P17" s="416"/>
      <c r="Q17" s="416"/>
      <c r="R17" s="416"/>
      <c r="S17" s="416"/>
      <c r="T17" s="416"/>
      <c r="U17" s="416"/>
      <c r="V17" s="417"/>
    </row>
    <row r="18" spans="1:22" ht="5.4" customHeight="1" x14ac:dyDescent="0.3">
      <c r="A18" s="15"/>
      <c r="B18" s="29"/>
      <c r="C18" s="29"/>
      <c r="D18" s="29"/>
      <c r="E18" s="16"/>
      <c r="F18" s="29"/>
      <c r="G18" s="29"/>
      <c r="H18" s="29"/>
      <c r="I18" s="16"/>
      <c r="J18" s="29"/>
      <c r="K18" s="29"/>
      <c r="L18" s="29"/>
      <c r="M18" s="17"/>
      <c r="O18" s="415"/>
      <c r="P18" s="416"/>
      <c r="Q18" s="416"/>
      <c r="R18" s="416"/>
      <c r="S18" s="416"/>
      <c r="T18" s="416"/>
      <c r="U18" s="416"/>
      <c r="V18" s="417"/>
    </row>
    <row r="19" spans="1:22" ht="16.2" customHeight="1" x14ac:dyDescent="0.3">
      <c r="A19" s="385" t="s">
        <v>1989</v>
      </c>
      <c r="B19" s="386"/>
      <c r="C19" s="386"/>
      <c r="D19" s="386"/>
      <c r="E19" s="152"/>
      <c r="F19" s="16"/>
      <c r="G19" s="16"/>
      <c r="H19" s="16"/>
      <c r="I19" s="16"/>
      <c r="J19" s="16"/>
      <c r="K19" s="16"/>
      <c r="L19" s="16"/>
      <c r="M19" s="17"/>
      <c r="O19" s="415"/>
      <c r="P19" s="416"/>
      <c r="Q19" s="416"/>
      <c r="R19" s="416"/>
      <c r="S19" s="416"/>
      <c r="T19" s="416"/>
      <c r="U19" s="416"/>
      <c r="V19" s="417"/>
    </row>
    <row r="20" spans="1:22" ht="16.2" customHeight="1" x14ac:dyDescent="0.3">
      <c r="A20" s="385" t="s">
        <v>1990</v>
      </c>
      <c r="B20" s="386"/>
      <c r="C20" s="386"/>
      <c r="D20" s="386"/>
      <c r="E20" s="152"/>
      <c r="F20" s="16"/>
      <c r="G20" s="16"/>
      <c r="H20" s="16"/>
      <c r="I20" s="16"/>
      <c r="J20" s="16"/>
      <c r="K20" s="16"/>
      <c r="L20" s="16"/>
      <c r="M20" s="17"/>
      <c r="O20" s="415"/>
      <c r="P20" s="416"/>
      <c r="Q20" s="416"/>
      <c r="R20" s="416"/>
      <c r="S20" s="416"/>
      <c r="T20" s="416"/>
      <c r="U20" s="416"/>
      <c r="V20" s="417"/>
    </row>
    <row r="21" spans="1:22" ht="16.2" customHeight="1" x14ac:dyDescent="0.3">
      <c r="A21" s="385" t="s">
        <v>1991</v>
      </c>
      <c r="B21" s="386"/>
      <c r="C21" s="386"/>
      <c r="D21" s="386"/>
      <c r="E21" s="152"/>
      <c r="F21" s="16"/>
      <c r="G21" s="16"/>
      <c r="H21" s="16"/>
      <c r="I21" s="16"/>
      <c r="J21" s="16"/>
      <c r="K21" s="16"/>
      <c r="L21" s="16"/>
      <c r="M21" s="17"/>
      <c r="O21" s="415"/>
      <c r="P21" s="416"/>
      <c r="Q21" s="416"/>
      <c r="R21" s="416"/>
      <c r="S21" s="416"/>
      <c r="T21" s="416"/>
      <c r="U21" s="416"/>
      <c r="V21" s="417"/>
    </row>
    <row r="22" spans="1:22" ht="16.2" customHeight="1" x14ac:dyDescent="0.3">
      <c r="A22" s="385" t="s">
        <v>1992</v>
      </c>
      <c r="B22" s="386"/>
      <c r="C22" s="386"/>
      <c r="D22" s="386"/>
      <c r="E22" s="152"/>
      <c r="F22" s="16"/>
      <c r="G22" s="16"/>
      <c r="H22" s="16"/>
      <c r="I22" s="16"/>
      <c r="J22" s="16"/>
      <c r="K22" s="16"/>
      <c r="L22" s="16"/>
      <c r="M22" s="17"/>
      <c r="O22" s="418"/>
      <c r="P22" s="419"/>
      <c r="Q22" s="419"/>
      <c r="R22" s="419"/>
      <c r="S22" s="419"/>
      <c r="T22" s="419"/>
      <c r="U22" s="419"/>
      <c r="V22" s="420"/>
    </row>
    <row r="23" spans="1:22" ht="16.2" customHeight="1" x14ac:dyDescent="0.3">
      <c r="A23" s="385" t="s">
        <v>1993</v>
      </c>
      <c r="B23" s="386"/>
      <c r="C23" s="386"/>
      <c r="D23" s="386"/>
      <c r="E23" s="152"/>
      <c r="F23" s="16"/>
      <c r="G23" s="16"/>
      <c r="H23" s="16"/>
      <c r="I23" s="16"/>
      <c r="J23" s="16"/>
      <c r="K23" s="16"/>
      <c r="L23" s="16"/>
      <c r="M23" s="17"/>
    </row>
    <row r="24" spans="1:22" ht="16.2" customHeight="1" x14ac:dyDescent="0.3">
      <c r="A24" s="385" t="s">
        <v>1994</v>
      </c>
      <c r="B24" s="386"/>
      <c r="C24" s="386"/>
      <c r="D24" s="386"/>
      <c r="E24" s="152"/>
      <c r="F24" s="16"/>
      <c r="G24" s="16"/>
      <c r="H24" s="16"/>
      <c r="I24" s="16"/>
      <c r="J24" s="16"/>
      <c r="K24" s="16"/>
      <c r="L24" s="16"/>
      <c r="M24" s="17"/>
    </row>
    <row r="25" spans="1:22" ht="4.8" customHeight="1" x14ac:dyDescent="0.3">
      <c r="A25" s="388"/>
      <c r="B25" s="389"/>
      <c r="C25" s="389"/>
      <c r="D25" s="389"/>
      <c r="E25" s="389"/>
      <c r="F25" s="389"/>
      <c r="G25" s="389"/>
      <c r="H25" s="389"/>
      <c r="I25" s="389"/>
      <c r="J25" s="389"/>
      <c r="K25" s="389"/>
      <c r="L25" s="389"/>
      <c r="M25" s="390"/>
    </row>
    <row r="26" spans="1:22" x14ac:dyDescent="0.3">
      <c r="A26" s="387"/>
      <c r="B26" s="387"/>
      <c r="C26" s="387"/>
      <c r="D26" s="387"/>
      <c r="E26" s="387"/>
      <c r="F26" s="387"/>
      <c r="G26" s="387"/>
      <c r="H26" s="387"/>
      <c r="I26" s="387"/>
      <c r="J26" s="387"/>
      <c r="K26" s="387"/>
      <c r="L26" s="387"/>
      <c r="M26" s="387"/>
    </row>
    <row r="27" spans="1:22" ht="49.2" customHeight="1" x14ac:dyDescent="0.3">
      <c r="A27" s="39"/>
      <c r="B27" s="39"/>
      <c r="C27" s="39"/>
      <c r="D27" s="39"/>
      <c r="E27" s="39"/>
      <c r="F27" s="39"/>
      <c r="G27" s="39"/>
      <c r="H27" s="39"/>
      <c r="I27" s="39"/>
      <c r="J27" s="39"/>
      <c r="K27" s="39"/>
      <c r="L27" s="39"/>
      <c r="M27" s="39"/>
    </row>
    <row r="28" spans="1:22" x14ac:dyDescent="0.3">
      <c r="A28" s="40"/>
      <c r="B28" s="39"/>
      <c r="C28" s="39"/>
      <c r="D28" s="39"/>
      <c r="E28" s="39"/>
      <c r="F28" s="39"/>
      <c r="G28" s="39"/>
      <c r="H28" s="39"/>
      <c r="I28" s="39"/>
      <c r="J28" s="39"/>
      <c r="K28" s="39"/>
      <c r="L28" s="39"/>
      <c r="M28" s="39"/>
    </row>
    <row r="29" spans="1:22" x14ac:dyDescent="0.3">
      <c r="A29" s="383"/>
      <c r="B29" s="384"/>
      <c r="C29" s="384"/>
      <c r="D29" s="384"/>
      <c r="E29" s="384"/>
      <c r="F29" s="384"/>
      <c r="G29" s="384"/>
      <c r="H29" s="384"/>
      <c r="I29" s="384"/>
      <c r="J29" s="384"/>
      <c r="K29" s="384"/>
      <c r="L29" s="384"/>
      <c r="M29" s="384"/>
    </row>
    <row r="30" spans="1:22" x14ac:dyDescent="0.3">
      <c r="A30" s="39"/>
      <c r="B30" s="39"/>
      <c r="C30" s="39"/>
      <c r="D30" s="39"/>
      <c r="E30" s="39"/>
      <c r="F30" s="39"/>
      <c r="G30" s="39"/>
      <c r="H30" s="39"/>
      <c r="I30" s="39"/>
      <c r="J30" s="39"/>
      <c r="K30" s="39"/>
      <c r="L30" s="39"/>
      <c r="M30" s="39"/>
    </row>
    <row r="31" spans="1:22" x14ac:dyDescent="0.3">
      <c r="A31" s="39"/>
      <c r="B31" s="39"/>
      <c r="C31" s="39"/>
      <c r="D31" s="39"/>
      <c r="E31" s="39"/>
      <c r="F31" s="39"/>
      <c r="G31" s="39"/>
      <c r="H31" s="39"/>
      <c r="I31" s="39"/>
      <c r="J31" s="39"/>
      <c r="K31" s="39"/>
      <c r="L31" s="39"/>
      <c r="M31" s="39"/>
    </row>
    <row r="32" spans="1:22" x14ac:dyDescent="0.3">
      <c r="A32" s="39"/>
      <c r="B32" s="39"/>
      <c r="C32" s="39"/>
      <c r="D32" s="39"/>
      <c r="E32" s="39"/>
      <c r="F32" s="39"/>
      <c r="G32" s="39"/>
      <c r="H32" s="39"/>
      <c r="I32" s="39"/>
      <c r="J32" s="39"/>
      <c r="K32" s="39"/>
      <c r="L32" s="39"/>
      <c r="M32" s="39"/>
    </row>
    <row r="33" spans="1:13" x14ac:dyDescent="0.3">
      <c r="A33" s="39"/>
      <c r="B33" s="39"/>
      <c r="C33" s="39"/>
      <c r="D33" s="39"/>
      <c r="E33" s="39"/>
      <c r="F33" s="39"/>
      <c r="G33" s="39"/>
      <c r="H33" s="39"/>
      <c r="I33" s="39"/>
      <c r="J33" s="39"/>
      <c r="K33" s="39"/>
      <c r="L33" s="39"/>
      <c r="M33" s="39"/>
    </row>
    <row r="34" spans="1:13" x14ac:dyDescent="0.3">
      <c r="A34" s="39"/>
      <c r="B34" s="39"/>
      <c r="C34" s="39"/>
      <c r="D34" s="39"/>
      <c r="E34" s="39"/>
      <c r="F34" s="39"/>
      <c r="G34" s="39"/>
      <c r="H34" s="39"/>
      <c r="I34" s="39"/>
      <c r="J34" s="39"/>
      <c r="K34" s="39"/>
      <c r="L34" s="39"/>
      <c r="M34" s="39"/>
    </row>
    <row r="35" spans="1:13" x14ac:dyDescent="0.3">
      <c r="A35" s="39"/>
      <c r="B35" s="39"/>
      <c r="C35" s="39"/>
      <c r="D35" s="39"/>
      <c r="E35" s="39"/>
      <c r="F35" s="39"/>
      <c r="G35" s="39"/>
      <c r="H35" s="39"/>
      <c r="I35" s="39"/>
      <c r="J35" s="39"/>
      <c r="K35" s="39"/>
      <c r="L35" s="39"/>
      <c r="M35" s="39"/>
    </row>
    <row r="36" spans="1:13" x14ac:dyDescent="0.3">
      <c r="A36" s="39"/>
      <c r="B36" s="39"/>
      <c r="C36" s="39"/>
      <c r="D36" s="39"/>
      <c r="E36" s="39"/>
      <c r="F36" s="39"/>
      <c r="G36" s="39"/>
      <c r="H36" s="39"/>
      <c r="I36" s="39"/>
      <c r="J36" s="39"/>
      <c r="K36" s="39"/>
      <c r="L36" s="39"/>
      <c r="M36" s="39"/>
    </row>
    <row r="37" spans="1:13" x14ac:dyDescent="0.3">
      <c r="A37" s="39"/>
      <c r="B37" s="39"/>
      <c r="C37" s="39"/>
      <c r="D37" s="39"/>
      <c r="E37" s="39"/>
      <c r="F37" s="39"/>
      <c r="G37" s="39"/>
      <c r="H37" s="39"/>
      <c r="I37" s="39"/>
      <c r="J37" s="39"/>
      <c r="K37" s="39"/>
      <c r="L37" s="39"/>
      <c r="M37" s="39"/>
    </row>
    <row r="38" spans="1:13" x14ac:dyDescent="0.3">
      <c r="A38" s="39"/>
      <c r="B38" s="39"/>
      <c r="C38" s="39"/>
      <c r="D38" s="39"/>
      <c r="E38" s="39"/>
      <c r="F38" s="39"/>
      <c r="G38" s="39"/>
      <c r="H38" s="39"/>
      <c r="I38" s="39"/>
      <c r="J38" s="39"/>
      <c r="K38" s="39"/>
      <c r="L38" s="39"/>
      <c r="M38" s="39"/>
    </row>
    <row r="39" spans="1:13" x14ac:dyDescent="0.3">
      <c r="A39" s="39"/>
      <c r="B39" s="39"/>
      <c r="C39" s="39"/>
      <c r="D39" s="39"/>
      <c r="E39" s="39"/>
      <c r="F39" s="39"/>
      <c r="G39" s="39"/>
      <c r="H39" s="39"/>
      <c r="I39" s="39"/>
      <c r="J39" s="39"/>
      <c r="K39" s="39"/>
      <c r="L39" s="39"/>
      <c r="M39" s="39"/>
    </row>
    <row r="40" spans="1:13" x14ac:dyDescent="0.3">
      <c r="A40" s="39"/>
      <c r="B40" s="39"/>
      <c r="C40" s="39"/>
      <c r="D40" s="39"/>
      <c r="E40" s="39"/>
      <c r="F40" s="39"/>
      <c r="G40" s="39"/>
      <c r="H40" s="39"/>
      <c r="I40" s="39"/>
      <c r="J40" s="39"/>
      <c r="K40" s="39"/>
      <c r="L40" s="39"/>
      <c r="M40" s="39"/>
    </row>
    <row r="41" spans="1:13" x14ac:dyDescent="0.3">
      <c r="A41" s="39"/>
      <c r="B41" s="39"/>
      <c r="C41" s="39"/>
      <c r="D41" s="39"/>
      <c r="E41" s="39"/>
      <c r="F41" s="39"/>
      <c r="G41" s="39"/>
      <c r="H41" s="39"/>
      <c r="I41" s="39"/>
      <c r="J41" s="39"/>
      <c r="K41" s="39"/>
      <c r="L41" s="39"/>
      <c r="M41" s="39"/>
    </row>
    <row r="42" spans="1:13" x14ac:dyDescent="0.3">
      <c r="A42" s="39"/>
      <c r="B42" s="39"/>
      <c r="C42" s="39"/>
      <c r="D42" s="39"/>
      <c r="E42" s="39"/>
      <c r="F42" s="39"/>
      <c r="G42" s="39"/>
      <c r="H42" s="39"/>
      <c r="I42" s="39"/>
      <c r="J42" s="39"/>
      <c r="K42" s="39"/>
      <c r="L42" s="39"/>
      <c r="M42" s="39"/>
    </row>
    <row r="43" spans="1:13" x14ac:dyDescent="0.3">
      <c r="A43" s="39"/>
      <c r="B43" s="39"/>
      <c r="C43" s="39"/>
      <c r="D43" s="39"/>
      <c r="E43" s="39"/>
      <c r="F43" s="39"/>
      <c r="G43" s="39"/>
      <c r="H43" s="39"/>
      <c r="I43" s="39"/>
      <c r="J43" s="39"/>
      <c r="K43" s="39"/>
      <c r="L43" s="39"/>
      <c r="M43" s="39"/>
    </row>
    <row r="44" spans="1:13" x14ac:dyDescent="0.3">
      <c r="A44" s="39"/>
      <c r="B44" s="39"/>
      <c r="C44" s="39"/>
      <c r="D44" s="39"/>
      <c r="E44" s="39"/>
      <c r="F44" s="39"/>
      <c r="G44" s="39"/>
      <c r="H44" s="39"/>
      <c r="I44" s="39"/>
      <c r="J44" s="39"/>
      <c r="K44" s="39"/>
      <c r="L44" s="39"/>
      <c r="M44" s="39"/>
    </row>
    <row r="45" spans="1:13" x14ac:dyDescent="0.3">
      <c r="A45" s="39"/>
      <c r="B45" s="39"/>
      <c r="C45" s="39"/>
      <c r="D45" s="39"/>
      <c r="E45" s="39"/>
      <c r="F45" s="39"/>
      <c r="G45" s="39"/>
      <c r="H45" s="39"/>
      <c r="I45" s="39"/>
      <c r="J45" s="39"/>
      <c r="K45" s="39"/>
      <c r="L45" s="39"/>
      <c r="M45" s="39"/>
    </row>
    <row r="46" spans="1:13" x14ac:dyDescent="0.3">
      <c r="A46" s="39"/>
      <c r="B46" s="39"/>
      <c r="C46" s="39"/>
      <c r="D46" s="39"/>
      <c r="E46" s="39"/>
      <c r="F46" s="39"/>
      <c r="G46" s="39"/>
      <c r="H46" s="39"/>
      <c r="I46" s="39"/>
      <c r="J46" s="39"/>
      <c r="K46" s="39"/>
      <c r="L46" s="39"/>
      <c r="M46" s="39"/>
    </row>
    <row r="47" spans="1:13" x14ac:dyDescent="0.3">
      <c r="A47" s="39"/>
      <c r="B47" s="39"/>
      <c r="C47" s="39"/>
      <c r="D47" s="39"/>
      <c r="E47" s="39"/>
      <c r="F47" s="39"/>
      <c r="G47" s="39"/>
      <c r="H47" s="39"/>
      <c r="I47" s="39"/>
      <c r="J47" s="39"/>
      <c r="K47" s="39"/>
      <c r="L47" s="39"/>
      <c r="M47" s="39"/>
    </row>
    <row r="48" spans="1:13" x14ac:dyDescent="0.3">
      <c r="A48" s="39"/>
      <c r="B48" s="39"/>
      <c r="C48" s="39"/>
      <c r="D48" s="39"/>
      <c r="E48" s="39"/>
      <c r="F48" s="39"/>
      <c r="G48" s="39"/>
      <c r="H48" s="39"/>
      <c r="I48" s="39"/>
      <c r="J48" s="39"/>
      <c r="K48" s="39"/>
      <c r="L48" s="39"/>
      <c r="M48" s="39"/>
    </row>
    <row r="49" spans="1:13" x14ac:dyDescent="0.3">
      <c r="A49" s="39"/>
      <c r="B49" s="39"/>
      <c r="C49" s="39"/>
      <c r="D49" s="39"/>
      <c r="E49" s="39"/>
      <c r="F49" s="39"/>
      <c r="G49" s="39"/>
      <c r="H49" s="39"/>
      <c r="I49" s="39"/>
      <c r="J49" s="39"/>
      <c r="K49" s="39"/>
      <c r="L49" s="39"/>
      <c r="M49" s="39"/>
    </row>
    <row r="50" spans="1:13" x14ac:dyDescent="0.3">
      <c r="A50" s="39"/>
      <c r="B50" s="39"/>
      <c r="C50" s="39"/>
      <c r="D50" s="39"/>
      <c r="E50" s="39"/>
      <c r="F50" s="39"/>
      <c r="G50" s="39"/>
      <c r="H50" s="39"/>
      <c r="I50" s="39"/>
      <c r="J50" s="39"/>
      <c r="K50" s="39"/>
      <c r="L50" s="39"/>
      <c r="M50" s="39"/>
    </row>
    <row r="51" spans="1:13" x14ac:dyDescent="0.3">
      <c r="A51" s="39"/>
      <c r="B51" s="39"/>
      <c r="C51" s="39"/>
      <c r="D51" s="39"/>
      <c r="E51" s="39"/>
      <c r="F51" s="39"/>
      <c r="G51" s="39"/>
      <c r="H51" s="39"/>
      <c r="I51" s="39"/>
      <c r="J51" s="39"/>
      <c r="K51" s="39"/>
      <c r="L51" s="39"/>
      <c r="M51" s="39"/>
    </row>
    <row r="52" spans="1:13" x14ac:dyDescent="0.3">
      <c r="A52" s="39"/>
      <c r="B52" s="39"/>
      <c r="C52" s="39"/>
      <c r="D52" s="39"/>
      <c r="E52" s="39"/>
      <c r="F52" s="39"/>
      <c r="G52" s="39"/>
      <c r="H52" s="39"/>
      <c r="I52" s="39"/>
      <c r="J52" s="39"/>
      <c r="K52" s="39"/>
      <c r="L52" s="39"/>
      <c r="M52" s="39"/>
    </row>
    <row r="53" spans="1:13" x14ac:dyDescent="0.3">
      <c r="A53" s="39"/>
      <c r="B53" s="39"/>
      <c r="C53" s="39"/>
      <c r="D53" s="39"/>
      <c r="E53" s="39"/>
      <c r="F53" s="39"/>
      <c r="G53" s="39"/>
      <c r="H53" s="39"/>
      <c r="I53" s="39"/>
      <c r="J53" s="39"/>
      <c r="K53" s="39"/>
      <c r="L53" s="39"/>
      <c r="M53" s="39"/>
    </row>
  </sheetData>
  <sheetProtection algorithmName="SHA-512" hashValue="qJ7AqTVqqm3j19paGSzXkZ1KevtBmFq+wQ3XK2QmaPtyuqBNi55NWOzgPI1vKxe1xNwxt+awfprNTpoIoh9Uiw==" saltValue="l9LcvQDulZxcNuFtn2c1uw==" spinCount="100000" sheet="1" selectLockedCells="1"/>
  <protectedRanges>
    <protectedRange algorithmName="SHA-512" hashValue="ipynFNZn0pufBFEZADZeeAyGEi+JWV8nHAUrbiPJ9Y8g9QC+WWj4zRY2j6wWwZ/NtKTO0cVBUWW4uM5rZUCeOQ==" saltValue="1VZ+Zn1PkH6cBPffDs1L1w==" spinCount="100000" sqref="G14:M15" name="Total Allocation"/>
    <protectedRange algorithmName="SHA-512" hashValue="lNcqq/b/lsnk95iB5XHq0PCRQDc9dvC4IFp0U4snaSUCM/moZUJf/mRHSIBefPWpvI8noEnjLM38ZtAzyO/BWg==" saltValue="a2+SEoRuu63mT/5dVMI08Q==" spinCount="100000" sqref="B16:L18" name="Focus Area"/>
  </protectedRanges>
  <mergeCells count="54">
    <mergeCell ref="O1:V1"/>
    <mergeCell ref="O2:V7"/>
    <mergeCell ref="A1:M1"/>
    <mergeCell ref="A2:M2"/>
    <mergeCell ref="A9:F9"/>
    <mergeCell ref="G9:M9"/>
    <mergeCell ref="C5:M5"/>
    <mergeCell ref="G6:I6"/>
    <mergeCell ref="G7:I7"/>
    <mergeCell ref="G8:I8"/>
    <mergeCell ref="A4:B4"/>
    <mergeCell ref="C4:M4"/>
    <mergeCell ref="C7:E7"/>
    <mergeCell ref="C8:E8"/>
    <mergeCell ref="B17:D17"/>
    <mergeCell ref="F17:H17"/>
    <mergeCell ref="O10:V11"/>
    <mergeCell ref="O12:V22"/>
    <mergeCell ref="I13:M13"/>
    <mergeCell ref="I14:M14"/>
    <mergeCell ref="A15:F15"/>
    <mergeCell ref="B16:D16"/>
    <mergeCell ref="F16:H16"/>
    <mergeCell ref="G10:H10"/>
    <mergeCell ref="J17:L17"/>
    <mergeCell ref="A14:F14"/>
    <mergeCell ref="G14:H14"/>
    <mergeCell ref="G11:H11"/>
    <mergeCell ref="I11:J11"/>
    <mergeCell ref="I12:M12"/>
    <mergeCell ref="G12:H12"/>
    <mergeCell ref="J16:L16"/>
    <mergeCell ref="I15:J15"/>
    <mergeCell ref="A13:F13"/>
    <mergeCell ref="G13:H13"/>
    <mergeCell ref="G15:H15"/>
    <mergeCell ref="I10:M10"/>
    <mergeCell ref="A8:B8"/>
    <mergeCell ref="C6:E6"/>
    <mergeCell ref="K8:M8"/>
    <mergeCell ref="A6:B6"/>
    <mergeCell ref="A7:B7"/>
    <mergeCell ref="K6:M6"/>
    <mergeCell ref="K7:M7"/>
    <mergeCell ref="A10:F10"/>
    <mergeCell ref="A29:M29"/>
    <mergeCell ref="A19:D19"/>
    <mergeCell ref="A23:D23"/>
    <mergeCell ref="A24:D24"/>
    <mergeCell ref="A20:D20"/>
    <mergeCell ref="A26:M26"/>
    <mergeCell ref="A25:M25"/>
    <mergeCell ref="A21:D21"/>
    <mergeCell ref="A22:D22"/>
  </mergeCells>
  <conditionalFormatting sqref="B16:D16">
    <cfRule type="cellIs" dxfId="218" priority="21" operator="between">
      <formula>0.01</formula>
      <formula>1</formula>
    </cfRule>
  </conditionalFormatting>
  <conditionalFormatting sqref="F16:H16">
    <cfRule type="cellIs" dxfId="217" priority="7" operator="between">
      <formula>0.01</formula>
      <formula>1</formula>
    </cfRule>
  </conditionalFormatting>
  <conditionalFormatting sqref="J16:L16">
    <cfRule type="cellIs" dxfId="216" priority="5" operator="equal">
      <formula>1</formula>
    </cfRule>
  </conditionalFormatting>
  <conditionalFormatting sqref="G15:H15">
    <cfRule type="expression" dxfId="215" priority="2">
      <formula>$G$15&gt;$I$15</formula>
    </cfRule>
    <cfRule type="expression" dxfId="214" priority="3">
      <formula>$G$15=$I$15</formula>
    </cfRule>
    <cfRule type="expression" dxfId="213" priority="4">
      <formula>$G$15&lt;$I$15</formula>
    </cfRule>
  </conditionalFormatting>
  <hyperlinks>
    <hyperlink ref="O2" r:id="rId1" display="https://form.jotform.com/200973852691968" xr:uid="{8F59EF06-4080-4983-B27B-9628FF28B530}"/>
    <hyperlink ref="O2:V7" r:id="rId2" display="Please only submit one (1) electronic copy of the application via Jotform. Please do not use the Title II email to submit your grant, as the large file sizes may prevent IDOE from receiving the file successfully. This email may continue to be used for future correspondence, including budget amendments." xr:uid="{CA7FB548-A566-4CD0-9D4B-084AF03D0CD1}"/>
  </hyperlinks>
  <pageMargins left="0.7" right="0.7" top="0.75" bottom="0.75" header="0.3" footer="0.3"/>
  <pageSetup orientation="landscape" r:id="rId3"/>
  <legacyDrawing r:id="rId4"/>
  <extLst>
    <ext xmlns:x14="http://schemas.microsoft.com/office/spreadsheetml/2009/9/main" uri="{78C0D931-6437-407d-A8EE-F0AAD7539E65}">
      <x14:conditionalFormattings>
        <x14:conditionalFormatting xmlns:xm="http://schemas.microsoft.com/office/excel/2006/main">
          <x14:cfRule type="expression" priority="1" id="{53FD6168-6329-4018-BEE2-E23BC6C646C6}">
            <xm:f>'Amend#2 Main Budget'!$M$23&lt;=G15</xm:f>
            <x14:dxf/>
          </x14:cfRule>
          <xm:sqref>M23</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E280D93D-DA8D-4702-86B7-A43D90ABE1E9}">
          <x14:formula1>
            <xm:f>Allocations!$A$6:$A$401</xm:f>
          </x14:formula1>
          <xm:sqref>C4:M4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1">
    <tabColor rgb="FF92D050"/>
  </sheetPr>
  <dimension ref="A1:N30"/>
  <sheetViews>
    <sheetView showGridLines="0" topLeftCell="A9" zoomScaleNormal="100" workbookViewId="0">
      <selection activeCell="C4" sqref="C4:D4"/>
    </sheetView>
  </sheetViews>
  <sheetFormatPr defaultColWidth="8.88671875" defaultRowHeight="14.4" x14ac:dyDescent="0.3"/>
  <cols>
    <col min="1" max="1" width="17.44140625" style="78" customWidth="1"/>
    <col min="2" max="2" width="23.88671875" style="78" customWidth="1"/>
    <col min="3" max="3" width="4.6640625" style="78" customWidth="1"/>
    <col min="4" max="4" width="11.88671875" style="78" customWidth="1"/>
    <col min="5" max="5" width="12.33203125" style="78" customWidth="1"/>
    <col min="6" max="6" width="4.88671875" style="78" customWidth="1"/>
    <col min="7" max="7" width="15.88671875" style="78" customWidth="1"/>
    <col min="8" max="8" width="11.88671875" style="78" customWidth="1"/>
    <col min="9" max="9" width="12.109375" style="78" customWidth="1"/>
    <col min="10" max="10" width="11.44140625" style="78" customWidth="1"/>
    <col min="11" max="11" width="12.5546875" style="78" customWidth="1"/>
    <col min="12" max="12" width="14" style="78" customWidth="1"/>
    <col min="13" max="13" width="15" style="78" customWidth="1"/>
    <col min="14" max="14" width="18.77734375" style="78" customWidth="1"/>
    <col min="15" max="16384" width="8.88671875" style="78"/>
  </cols>
  <sheetData>
    <row r="1" spans="1:13" ht="43.2" customHeight="1" x14ac:dyDescent="0.3">
      <c r="A1" s="461" t="s">
        <v>143</v>
      </c>
      <c r="B1" s="461"/>
      <c r="C1" s="461"/>
      <c r="D1" s="461"/>
      <c r="E1" s="461"/>
      <c r="F1" s="461"/>
      <c r="G1" s="461"/>
      <c r="H1" s="461"/>
      <c r="I1" s="461"/>
      <c r="J1" s="461"/>
      <c r="K1" s="461"/>
      <c r="L1" s="461"/>
      <c r="M1" s="461"/>
    </row>
    <row r="2" spans="1:13" ht="15" x14ac:dyDescent="0.3">
      <c r="A2" s="565" t="s">
        <v>0</v>
      </c>
      <c r="B2" s="565"/>
      <c r="C2" s="565"/>
      <c r="D2" s="565"/>
      <c r="E2" s="565"/>
      <c r="F2" s="565"/>
      <c r="G2" s="565"/>
      <c r="H2" s="565"/>
      <c r="I2" s="565"/>
      <c r="J2" s="565"/>
      <c r="K2" s="565"/>
      <c r="L2" s="565"/>
      <c r="M2" s="565"/>
    </row>
    <row r="3" spans="1:13" x14ac:dyDescent="0.3">
      <c r="A3" s="566" t="s">
        <v>70</v>
      </c>
      <c r="B3" s="566"/>
      <c r="C3" s="572">
        <v>110</v>
      </c>
      <c r="D3" s="573"/>
      <c r="E3" s="572" t="s">
        <v>1</v>
      </c>
      <c r="F3" s="573"/>
      <c r="G3" s="79" t="s">
        <v>2</v>
      </c>
      <c r="H3" s="79">
        <v>440</v>
      </c>
      <c r="I3" s="79" t="s">
        <v>3</v>
      </c>
      <c r="J3" s="79" t="s">
        <v>4</v>
      </c>
      <c r="K3" s="79" t="s">
        <v>5</v>
      </c>
      <c r="L3" s="79">
        <v>910</v>
      </c>
      <c r="M3" s="80"/>
    </row>
    <row r="4" spans="1:13" x14ac:dyDescent="0.3">
      <c r="A4" s="567" t="s">
        <v>6</v>
      </c>
      <c r="B4" s="568" t="s">
        <v>7</v>
      </c>
      <c r="C4" s="569" t="s">
        <v>8</v>
      </c>
      <c r="D4" s="569"/>
      <c r="E4" s="569" t="s">
        <v>9</v>
      </c>
      <c r="F4" s="569"/>
      <c r="G4" s="570" t="s">
        <v>10</v>
      </c>
      <c r="H4" s="570" t="s">
        <v>11</v>
      </c>
      <c r="I4" s="570" t="s">
        <v>12</v>
      </c>
      <c r="J4" s="570" t="s">
        <v>13</v>
      </c>
      <c r="K4" s="570" t="s">
        <v>14</v>
      </c>
      <c r="L4" s="570" t="s">
        <v>15</v>
      </c>
      <c r="M4" s="571" t="s">
        <v>16</v>
      </c>
    </row>
    <row r="5" spans="1:13" ht="27" customHeight="1" x14ac:dyDescent="0.3">
      <c r="A5" s="567"/>
      <c r="B5" s="568"/>
      <c r="C5" s="574" t="s">
        <v>79</v>
      </c>
      <c r="D5" s="575"/>
      <c r="E5" s="574" t="s">
        <v>80</v>
      </c>
      <c r="F5" s="575"/>
      <c r="G5" s="570"/>
      <c r="H5" s="570"/>
      <c r="I5" s="570"/>
      <c r="J5" s="570"/>
      <c r="K5" s="570"/>
      <c r="L5" s="570"/>
      <c r="M5" s="571"/>
    </row>
    <row r="6" spans="1:13" x14ac:dyDescent="0.3">
      <c r="A6" s="81">
        <v>11000</v>
      </c>
      <c r="B6" s="81" t="s">
        <v>17</v>
      </c>
      <c r="C6" s="578">
        <f>'LEA Activities'!I6+'Nonpub Activities'!H6</f>
        <v>0</v>
      </c>
      <c r="D6" s="579"/>
      <c r="E6" s="578">
        <f>'LEA Activities'!I7+'Nonpub Activities'!H7</f>
        <v>0</v>
      </c>
      <c r="F6" s="579"/>
      <c r="G6" s="82">
        <f>'LEA Activities'!I8+'Nonpub Activities'!H8</f>
        <v>0</v>
      </c>
      <c r="H6" s="82">
        <f>'LEA Activities'!I9+'Nonpub Activities'!H9</f>
        <v>0</v>
      </c>
      <c r="I6" s="82">
        <f>'LEA Activities'!I10+'Nonpub Activities'!H10</f>
        <v>0</v>
      </c>
      <c r="J6" s="82">
        <f>'LEA Activities'!I11+'Nonpub Activities'!H11</f>
        <v>0</v>
      </c>
      <c r="K6" s="82">
        <f>'LEA Activities'!I12+'Nonpub Activities'!H12</f>
        <v>0</v>
      </c>
      <c r="L6" s="82">
        <f>'LEA Activities'!I13+'Nonpub Activities'!H13</f>
        <v>0</v>
      </c>
      <c r="M6" s="82">
        <f t="shared" ref="M6:M13" si="0">SUM(C6:L6)</f>
        <v>0</v>
      </c>
    </row>
    <row r="7" spans="1:13" x14ac:dyDescent="0.3">
      <c r="A7" s="81">
        <v>21000</v>
      </c>
      <c r="B7" s="81" t="s">
        <v>18</v>
      </c>
      <c r="C7" s="578">
        <f>'LEA Activities'!I14+'Nonpub Activities'!H14</f>
        <v>0</v>
      </c>
      <c r="D7" s="579"/>
      <c r="E7" s="578">
        <f>'LEA Activities'!I15+'Nonpub Activities'!H15</f>
        <v>0</v>
      </c>
      <c r="F7" s="579"/>
      <c r="G7" s="82">
        <f>'LEA Activities'!I16+'Nonpub Activities'!H16</f>
        <v>0</v>
      </c>
      <c r="H7" s="82">
        <f>'LEA Activities'!I17+'Nonpub Activities'!H17</f>
        <v>0</v>
      </c>
      <c r="I7" s="82">
        <f>'LEA Activities'!I18+'Nonpub Activities'!H18</f>
        <v>0</v>
      </c>
      <c r="J7" s="82">
        <f>'LEA Activities'!I19+'Nonpub Activities'!H19</f>
        <v>0</v>
      </c>
      <c r="K7" s="82">
        <f>'LEA Activities'!I20+'Nonpub Activities'!H20</f>
        <v>0</v>
      </c>
      <c r="L7" s="82">
        <f>'LEA Activities'!I21+'Nonpub Activities'!H21</f>
        <v>0</v>
      </c>
      <c r="M7" s="82">
        <f t="shared" si="0"/>
        <v>0</v>
      </c>
    </row>
    <row r="8" spans="1:13" x14ac:dyDescent="0.3">
      <c r="A8" s="81">
        <v>22100</v>
      </c>
      <c r="B8" s="81" t="s">
        <v>2066</v>
      </c>
      <c r="C8" s="578">
        <f>'LEA Activities'!I22+'Nonpub Activities'!H22</f>
        <v>0</v>
      </c>
      <c r="D8" s="579"/>
      <c r="E8" s="578">
        <f>'LEA Activities'!I23+'Nonpub Activities'!H23</f>
        <v>0</v>
      </c>
      <c r="F8" s="579"/>
      <c r="G8" s="82">
        <f>'LEA Activities'!I24+'Nonpub Activities'!H24</f>
        <v>0</v>
      </c>
      <c r="H8" s="82">
        <f>'LEA Activities'!I25+'Nonpub Activities'!H25</f>
        <v>0</v>
      </c>
      <c r="I8" s="82">
        <f>'LEA Activities'!I26+'Nonpub Activities'!H26</f>
        <v>0</v>
      </c>
      <c r="J8" s="82">
        <f>'LEA Activities'!I27+'Nonpub Activities'!H27</f>
        <v>0</v>
      </c>
      <c r="K8" s="82">
        <f>'LEA Activities'!I28+'Nonpub Activities'!H28</f>
        <v>0</v>
      </c>
      <c r="L8" s="82">
        <f>'LEA Activities'!I29+'Nonpub Activities'!H29</f>
        <v>0</v>
      </c>
      <c r="M8" s="82">
        <f t="shared" si="0"/>
        <v>0</v>
      </c>
    </row>
    <row r="9" spans="1:13" ht="27.6" x14ac:dyDescent="0.3">
      <c r="A9" s="83">
        <v>22900</v>
      </c>
      <c r="B9" s="81" t="s">
        <v>28</v>
      </c>
      <c r="C9" s="578">
        <f>'LEA Activities'!I30+'Nonpub Activities'!H30</f>
        <v>0</v>
      </c>
      <c r="D9" s="579"/>
      <c r="E9" s="578">
        <f>'LEA Activities'!I31+'Nonpub Activities'!H31</f>
        <v>0</v>
      </c>
      <c r="F9" s="579"/>
      <c r="G9" s="82">
        <f>'LEA Activities'!I32+'Nonpub Activities'!H32</f>
        <v>0</v>
      </c>
      <c r="H9" s="82">
        <f>'LEA Activities'!I33+'Nonpub Activities'!H33</f>
        <v>0</v>
      </c>
      <c r="I9" s="82">
        <f>'LEA Activities'!I34+'Nonpub Activities'!H34</f>
        <v>0</v>
      </c>
      <c r="J9" s="82">
        <f>'LEA Activities'!I35+'Nonpub Activities'!H35</f>
        <v>0</v>
      </c>
      <c r="K9" s="82">
        <f>'LEA Activities'!I36+'Nonpub Activities'!H36</f>
        <v>0</v>
      </c>
      <c r="L9" s="82">
        <f>'LEA Activities'!I37+'Nonpub Activities'!H37</f>
        <v>0</v>
      </c>
      <c r="M9" s="82">
        <f t="shared" si="0"/>
        <v>0</v>
      </c>
    </row>
    <row r="10" spans="1:13" x14ac:dyDescent="0.3">
      <c r="A10" s="83">
        <v>25191</v>
      </c>
      <c r="B10" s="81" t="s">
        <v>19</v>
      </c>
      <c r="C10" s="578"/>
      <c r="D10" s="579"/>
      <c r="E10" s="578"/>
      <c r="F10" s="579"/>
      <c r="G10" s="82"/>
      <c r="H10" s="82"/>
      <c r="I10" s="82"/>
      <c r="J10" s="82"/>
      <c r="K10" s="82"/>
      <c r="L10" s="82"/>
      <c r="M10" s="82">
        <f t="shared" si="0"/>
        <v>0</v>
      </c>
    </row>
    <row r="11" spans="1:13" x14ac:dyDescent="0.3">
      <c r="A11" s="83">
        <v>26000</v>
      </c>
      <c r="B11" s="81" t="s">
        <v>20</v>
      </c>
      <c r="C11" s="578">
        <f>'LEA Activities'!I38+'Nonpub Activities'!H38</f>
        <v>0</v>
      </c>
      <c r="D11" s="579"/>
      <c r="E11" s="578">
        <f>'LEA Activities'!I39+'Nonpub Activities'!H39</f>
        <v>0</v>
      </c>
      <c r="F11" s="579"/>
      <c r="G11" s="82">
        <f>'LEA Activities'!I40+'Nonpub Activities'!H40</f>
        <v>0</v>
      </c>
      <c r="H11" s="82">
        <f>'LEA Activities'!I41+'Nonpub Activities'!H41</f>
        <v>0</v>
      </c>
      <c r="I11" s="82">
        <f>'LEA Activities'!I42+'Nonpub Activities'!H42</f>
        <v>0</v>
      </c>
      <c r="J11" s="82">
        <f>'LEA Activities'!I43+'Nonpub Activities'!H43</f>
        <v>0</v>
      </c>
      <c r="K11" s="82">
        <f>'LEA Activities'!I44+'Nonpub Activities'!H44</f>
        <v>0</v>
      </c>
      <c r="L11" s="82">
        <f>'LEA Activities'!I45+'Nonpub Activities'!H45</f>
        <v>0</v>
      </c>
      <c r="M11" s="82">
        <f t="shared" si="0"/>
        <v>0</v>
      </c>
    </row>
    <row r="12" spans="1:13" x14ac:dyDescent="0.3">
      <c r="A12" s="81">
        <v>27000</v>
      </c>
      <c r="B12" s="81" t="s">
        <v>21</v>
      </c>
      <c r="C12" s="578">
        <f>'LEA Activities'!I46+'Nonpub Activities'!H46</f>
        <v>0</v>
      </c>
      <c r="D12" s="579"/>
      <c r="E12" s="578">
        <f>'LEA Activities'!I47+'Nonpub Activities'!H47</f>
        <v>0</v>
      </c>
      <c r="F12" s="579"/>
      <c r="G12" s="82">
        <f>'LEA Activities'!I48+'Nonpub Activities'!H48</f>
        <v>0</v>
      </c>
      <c r="H12" s="82">
        <f>'LEA Activities'!I49+'Nonpub Activities'!H49</f>
        <v>0</v>
      </c>
      <c r="I12" s="82">
        <f>'LEA Activities'!I50+'Nonpub Activities'!H50</f>
        <v>0</v>
      </c>
      <c r="J12" s="82">
        <f>'LEA Activities'!I51+'Nonpub Activities'!H51</f>
        <v>0</v>
      </c>
      <c r="K12" s="82">
        <f>'LEA Activities'!I52+'Nonpub Activities'!H52</f>
        <v>0</v>
      </c>
      <c r="L12" s="82">
        <f>'LEA Activities'!I53+'Nonpub Activities'!H53</f>
        <v>0</v>
      </c>
      <c r="M12" s="82">
        <f t="shared" si="0"/>
        <v>0</v>
      </c>
    </row>
    <row r="13" spans="1:13" ht="27.6" x14ac:dyDescent="0.3">
      <c r="A13" s="81">
        <v>33000</v>
      </c>
      <c r="B13" s="81" t="s">
        <v>22</v>
      </c>
      <c r="C13" s="578">
        <f>'LEA Activities'!I54+'Nonpub Activities'!H54</f>
        <v>0</v>
      </c>
      <c r="D13" s="579"/>
      <c r="E13" s="578">
        <f>'LEA Activities'!I55+'Nonpub Activities'!H55</f>
        <v>0</v>
      </c>
      <c r="F13" s="579"/>
      <c r="G13" s="82">
        <f>'LEA Activities'!I56+'Nonpub Activities'!H56</f>
        <v>0</v>
      </c>
      <c r="H13" s="82">
        <f>'LEA Activities'!I57+'Nonpub Activities'!H57</f>
        <v>0</v>
      </c>
      <c r="I13" s="82">
        <f>'LEA Activities'!I58+'Nonpub Activities'!H58</f>
        <v>0</v>
      </c>
      <c r="J13" s="82">
        <f>'LEA Activities'!I59+'Nonpub Activities'!H59</f>
        <v>0</v>
      </c>
      <c r="K13" s="82">
        <f>'LEA Activities'!I60+'Nonpub Activities'!H60</f>
        <v>0</v>
      </c>
      <c r="L13" s="82">
        <f>'LEA Activities'!I61+'Nonpub Activities'!H61</f>
        <v>0</v>
      </c>
      <c r="M13" s="82">
        <f t="shared" si="0"/>
        <v>0</v>
      </c>
    </row>
    <row r="14" spans="1:13" x14ac:dyDescent="0.3">
      <c r="A14" s="81"/>
      <c r="B14" s="81"/>
      <c r="C14" s="578"/>
      <c r="D14" s="579"/>
      <c r="E14" s="578"/>
      <c r="F14" s="579"/>
      <c r="G14" s="82"/>
      <c r="H14" s="82"/>
      <c r="I14" s="82"/>
      <c r="J14" s="82"/>
      <c r="K14" s="82"/>
      <c r="L14" s="84"/>
      <c r="M14" s="84"/>
    </row>
    <row r="15" spans="1:13" x14ac:dyDescent="0.3">
      <c r="A15" s="80"/>
      <c r="B15" s="85" t="s">
        <v>23</v>
      </c>
      <c r="C15" s="578">
        <f t="shared" ref="C15:L15" si="1">SUM(C6:C14)</f>
        <v>0</v>
      </c>
      <c r="D15" s="579"/>
      <c r="E15" s="578">
        <f t="shared" si="1"/>
        <v>0</v>
      </c>
      <c r="F15" s="579"/>
      <c r="G15" s="82">
        <f>SUM(G6:G14)</f>
        <v>0</v>
      </c>
      <c r="H15" s="82">
        <f t="shared" si="1"/>
        <v>0</v>
      </c>
      <c r="I15" s="82">
        <f t="shared" si="1"/>
        <v>0</v>
      </c>
      <c r="J15" s="82">
        <f t="shared" si="1"/>
        <v>0</v>
      </c>
      <c r="K15" s="82">
        <f t="shared" si="1"/>
        <v>0</v>
      </c>
      <c r="L15" s="82">
        <f t="shared" si="1"/>
        <v>0</v>
      </c>
      <c r="M15" s="86">
        <f>SUM(M6:M14)</f>
        <v>0</v>
      </c>
    </row>
    <row r="16" spans="1:13" ht="15" thickBot="1" x14ac:dyDescent="0.35">
      <c r="A16" s="168"/>
      <c r="B16" s="169"/>
      <c r="C16" s="580"/>
      <c r="D16" s="581"/>
      <c r="E16" s="580"/>
      <c r="F16" s="581"/>
      <c r="G16" s="170"/>
      <c r="H16" s="171"/>
      <c r="I16" s="171"/>
      <c r="J16" s="171"/>
      <c r="K16" s="171"/>
      <c r="L16" s="172" t="s">
        <v>29</v>
      </c>
      <c r="M16" s="172">
        <f>SUM(M6:M14)</f>
        <v>0</v>
      </c>
    </row>
    <row r="17" spans="1:14" x14ac:dyDescent="0.3">
      <c r="A17" s="584" t="s">
        <v>430</v>
      </c>
      <c r="B17" s="585"/>
      <c r="C17" s="585"/>
      <c r="D17" s="585"/>
      <c r="E17" s="585"/>
      <c r="F17" s="585"/>
      <c r="G17" s="585"/>
      <c r="H17" s="585"/>
      <c r="I17" s="585"/>
      <c r="J17" s="585"/>
      <c r="K17" s="585"/>
      <c r="L17" s="586"/>
      <c r="M17" s="167">
        <f>'LEA Activities'!I64</f>
        <v>0</v>
      </c>
    </row>
    <row r="18" spans="1:14" x14ac:dyDescent="0.3">
      <c r="A18" s="88"/>
      <c r="B18" s="89"/>
      <c r="C18" s="89"/>
      <c r="D18" s="89"/>
      <c r="E18" s="89"/>
      <c r="F18" s="89"/>
      <c r="G18" s="89"/>
      <c r="H18" s="89"/>
      <c r="I18" s="89"/>
      <c r="J18" s="89"/>
      <c r="K18" s="89"/>
      <c r="L18" s="180" t="s">
        <v>2003</v>
      </c>
      <c r="M18" s="87">
        <f>'Nonpub Activities'!H64</f>
        <v>0</v>
      </c>
    </row>
    <row r="19" spans="1:14" x14ac:dyDescent="0.3">
      <c r="A19" s="174" t="s">
        <v>72</v>
      </c>
      <c r="B19" s="582"/>
      <c r="C19" s="583"/>
      <c r="D19" s="576" t="s">
        <v>24</v>
      </c>
      <c r="E19" s="576"/>
      <c r="F19" s="576"/>
      <c r="G19" s="576"/>
      <c r="H19" s="576"/>
      <c r="I19" s="576"/>
      <c r="J19" s="576"/>
      <c r="K19" s="576"/>
      <c r="L19" s="576"/>
      <c r="M19" s="153"/>
    </row>
    <row r="20" spans="1:14" x14ac:dyDescent="0.3">
      <c r="A20" s="577" t="s">
        <v>25</v>
      </c>
      <c r="B20" s="577"/>
      <c r="C20" s="577"/>
      <c r="D20" s="577"/>
      <c r="E20" s="577"/>
      <c r="F20" s="577"/>
      <c r="G20" s="577"/>
      <c r="H20" s="577"/>
      <c r="I20" s="577"/>
      <c r="J20" s="577"/>
      <c r="K20" s="577"/>
      <c r="L20" s="577"/>
      <c r="M20" s="90">
        <f>SUM(M16,M19)-K15</f>
        <v>0</v>
      </c>
    </row>
    <row r="21" spans="1:14" x14ac:dyDescent="0.3">
      <c r="A21" s="577" t="s">
        <v>26</v>
      </c>
      <c r="B21" s="577"/>
      <c r="C21" s="577"/>
      <c r="D21" s="577"/>
      <c r="E21" s="577"/>
      <c r="F21" s="577"/>
      <c r="G21" s="577"/>
      <c r="H21" s="577"/>
      <c r="I21" s="577"/>
      <c r="J21" s="577"/>
      <c r="K21" s="577"/>
      <c r="L21" s="577"/>
      <c r="M21" s="87">
        <f>ROUND((B19/100)*M20,2)</f>
        <v>0</v>
      </c>
    </row>
    <row r="22" spans="1:14" x14ac:dyDescent="0.3">
      <c r="A22" s="577" t="s">
        <v>27</v>
      </c>
      <c r="B22" s="577"/>
      <c r="C22" s="577"/>
      <c r="D22" s="577"/>
      <c r="E22" s="577"/>
      <c r="F22" s="577"/>
      <c r="G22" s="577"/>
      <c r="H22" s="577"/>
      <c r="I22" s="577"/>
      <c r="J22" s="577"/>
      <c r="K22" s="577"/>
      <c r="L22" s="577"/>
      <c r="M22" s="173">
        <f>'LEA Activities'!I62+'Nonpub Activities'!H62</f>
        <v>0</v>
      </c>
    </row>
    <row r="23" spans="1:14" x14ac:dyDescent="0.3">
      <c r="A23" s="91"/>
      <c r="B23" s="91"/>
      <c r="C23" s="91"/>
      <c r="D23" s="91"/>
      <c r="E23" s="91"/>
      <c r="F23" s="91"/>
      <c r="G23" s="91"/>
      <c r="H23" s="91"/>
      <c r="I23" s="91"/>
      <c r="J23" s="91"/>
      <c r="K23" s="91"/>
      <c r="L23" s="91" t="s">
        <v>2012</v>
      </c>
      <c r="M23" s="87">
        <f>SUM(C9:L9)</f>
        <v>0</v>
      </c>
    </row>
    <row r="24" spans="1:14" x14ac:dyDescent="0.3">
      <c r="A24" s="595" t="s">
        <v>73</v>
      </c>
      <c r="B24" s="595"/>
      <c r="C24" s="595"/>
      <c r="D24" s="595"/>
      <c r="E24" s="595"/>
      <c r="F24" s="595"/>
      <c r="G24" s="595"/>
      <c r="H24" s="595"/>
      <c r="I24" s="595"/>
      <c r="J24" s="595"/>
      <c r="K24" s="595"/>
      <c r="L24" s="595"/>
      <c r="M24" s="86">
        <f>M16+M22</f>
        <v>0</v>
      </c>
      <c r="N24" s="181" t="e">
        <f>Overview!G13+G14</f>
        <v>#VALUE!</v>
      </c>
    </row>
    <row r="25" spans="1:14" ht="15.6" x14ac:dyDescent="0.3">
      <c r="A25" s="92"/>
      <c r="B25" s="92"/>
      <c r="C25" s="92"/>
      <c r="D25" s="92"/>
      <c r="E25" s="92"/>
      <c r="F25" s="92"/>
      <c r="G25" s="92"/>
      <c r="H25" s="93"/>
      <c r="I25" s="93"/>
      <c r="J25" s="93"/>
      <c r="K25" s="93"/>
      <c r="L25" s="93"/>
      <c r="M25" s="94"/>
    </row>
    <row r="26" spans="1:14" ht="16.2" customHeight="1" x14ac:dyDescent="0.3">
      <c r="A26" s="594" t="s">
        <v>147</v>
      </c>
      <c r="B26" s="594"/>
      <c r="C26" s="594"/>
      <c r="D26" s="594"/>
      <c r="E26" s="594"/>
      <c r="F26" s="594"/>
      <c r="G26" s="95" t="s">
        <v>31</v>
      </c>
      <c r="H26" s="96" t="s">
        <v>74</v>
      </c>
      <c r="I26" s="97"/>
      <c r="J26" s="98"/>
    </row>
    <row r="27" spans="1:14" ht="22.95" customHeight="1" x14ac:dyDescent="0.3">
      <c r="A27" s="588" t="s">
        <v>144</v>
      </c>
      <c r="B27" s="589"/>
      <c r="C27" s="589"/>
      <c r="D27" s="589"/>
      <c r="E27" s="589"/>
      <c r="F27" s="590"/>
      <c r="G27" s="99">
        <f>SUMIF('LEA Activities'!B6:B35,"1",'LEA Activities'!E6:E35)</f>
        <v>0</v>
      </c>
      <c r="H27" s="277" t="str">
        <f>IFERROR(SUM(G27/Overview!G14),"")</f>
        <v/>
      </c>
      <c r="I27" s="101"/>
      <c r="J27" s="102"/>
    </row>
    <row r="28" spans="1:14" ht="20.399999999999999" customHeight="1" x14ac:dyDescent="0.3">
      <c r="A28" s="591" t="s">
        <v>145</v>
      </c>
      <c r="B28" s="592"/>
      <c r="C28" s="592"/>
      <c r="D28" s="592"/>
      <c r="E28" s="592"/>
      <c r="F28" s="593"/>
      <c r="G28" s="99">
        <f>SUMIF('LEA Activities'!B6:B35,"2",'LEA Activities'!E6:E35)</f>
        <v>0</v>
      </c>
      <c r="H28" s="277" t="str">
        <f>IFERROR(SUM(G28/Overview!G14),"")</f>
        <v/>
      </c>
      <c r="I28" s="101"/>
      <c r="J28" s="102"/>
    </row>
    <row r="29" spans="1:14" ht="21" customHeight="1" x14ac:dyDescent="0.3">
      <c r="A29" s="591" t="s">
        <v>146</v>
      </c>
      <c r="B29" s="592"/>
      <c r="C29" s="592"/>
      <c r="D29" s="592"/>
      <c r="E29" s="592"/>
      <c r="F29" s="593"/>
      <c r="G29" s="99">
        <f>SUMIF('LEA Activities'!B6:B35,"3",'LEA Activities'!E6:E35)</f>
        <v>0</v>
      </c>
      <c r="H29" s="277" t="str">
        <f>IFERROR(SUM(G29/Overview!G14),"")</f>
        <v/>
      </c>
      <c r="I29" s="101"/>
      <c r="J29" s="102"/>
      <c r="K29" s="596"/>
      <c r="L29" s="596"/>
      <c r="M29" s="103"/>
    </row>
    <row r="30" spans="1:14" ht="22.95" customHeight="1" x14ac:dyDescent="0.3">
      <c r="A30" s="104"/>
      <c r="B30" s="104"/>
      <c r="C30" s="104"/>
      <c r="D30" s="587"/>
      <c r="E30" s="587"/>
      <c r="F30" s="587"/>
      <c r="G30" s="587"/>
      <c r="H30" s="105"/>
      <c r="I30" s="105"/>
      <c r="J30" s="106"/>
      <c r="K30" s="596"/>
      <c r="L30" s="596"/>
      <c r="M30" s="103"/>
    </row>
  </sheetData>
  <sheetProtection algorithmName="SHA-512" hashValue="rtjuSkvBmsi0HUj/3g9NZA39oJ1s1Sj+e2vRNgn3lK2F6bt7kz3bF2Y7iFpTd4bpEqRIqF+iXgATpA5j0gZodQ==" saltValue="Kh76R09uLAW3k1ha/8PiZw==" spinCount="100000" sheet="1" objects="1" scenarios="1" selectLockedCells="1"/>
  <protectedRanges>
    <protectedRange algorithmName="SHA-512" hashValue="g94kMd79A/YYd0ADBad8mZMcZU2dwwfpSMxsE13ATz7R3GZjHsJQKg4bX2Qxb4n3xtTTwh/jVE9u2bu0jJr3Pg==" saltValue="iPGkUWOUuB1Ny8MQAQGXzg==" spinCount="100000" sqref="M20:M24" name="Totals"/>
    <protectedRange algorithmName="SHA-512" hashValue="3b95bpvQjq0s58Os8PVjtFd5QufcRL5YDzBpab6JTWdhNWE+3Sew372NYJC9LyYwHdiLoG9+E1URQ/9gXw6M2g==" saltValue="Dc4ubrENfJ1JzZRbwmxr1Q==" spinCount="100000" sqref="M29:M30" name="Infrastructure"/>
    <protectedRange algorithmName="SHA-512" hashValue="VE+MMm4Tq2imO0b4cCfe/GLwo5/uojngjNFtz+gAM1c2BDwWuP/m5dHuk50rv/zQxkG1QadmD2mIZxE45SDDjQ==" saltValue="ZVp3gHcNtMIFaeXScHwgTQ==" spinCount="100000" sqref="G27:G29" name="Focus Area"/>
    <protectedRange algorithmName="SHA-512" hashValue="gmWeISesQPMhzvPqYovgcN9UEgd0Qz9m7L2OL3iTpt69X/6n0UP292d1N3RSvpGgIGeqEyqzc55mwxngwvAePw==" saltValue="fYwuXBuj4dlAVNgmXMHXmA==" spinCount="100000" sqref="C6:M15" name="Main Budget"/>
  </protectedRanges>
  <mergeCells count="54">
    <mergeCell ref="C13:D13"/>
    <mergeCell ref="C14:D14"/>
    <mergeCell ref="C6:D6"/>
    <mergeCell ref="C7:D7"/>
    <mergeCell ref="E6:F6"/>
    <mergeCell ref="E7:F7"/>
    <mergeCell ref="E8:F8"/>
    <mergeCell ref="E9:F9"/>
    <mergeCell ref="E10:F10"/>
    <mergeCell ref="E11:F11"/>
    <mergeCell ref="E12:F12"/>
    <mergeCell ref="A22:L22"/>
    <mergeCell ref="B19:C19"/>
    <mergeCell ref="A17:L17"/>
    <mergeCell ref="D30:G30"/>
    <mergeCell ref="A27:F27"/>
    <mergeCell ref="A28:F28"/>
    <mergeCell ref="A29:F29"/>
    <mergeCell ref="A26:F26"/>
    <mergeCell ref="A24:L24"/>
    <mergeCell ref="K29:L29"/>
    <mergeCell ref="K30:L30"/>
    <mergeCell ref="E5:F5"/>
    <mergeCell ref="C5:D5"/>
    <mergeCell ref="D19:L19"/>
    <mergeCell ref="A20:L20"/>
    <mergeCell ref="A21:L21"/>
    <mergeCell ref="E13:F13"/>
    <mergeCell ref="E14:F14"/>
    <mergeCell ref="C8:D8"/>
    <mergeCell ref="C9:D9"/>
    <mergeCell ref="C15:D15"/>
    <mergeCell ref="C16:D16"/>
    <mergeCell ref="E15:F15"/>
    <mergeCell ref="E16:F16"/>
    <mergeCell ref="C10:D10"/>
    <mergeCell ref="C11:D11"/>
    <mergeCell ref="C12:D12"/>
    <mergeCell ref="A1:M1"/>
    <mergeCell ref="A2:M2"/>
    <mergeCell ref="A3:B3"/>
    <mergeCell ref="A4:A5"/>
    <mergeCell ref="B4:B5"/>
    <mergeCell ref="C4:D4"/>
    <mergeCell ref="E4:F4"/>
    <mergeCell ref="G4:G5"/>
    <mergeCell ref="H4:H5"/>
    <mergeCell ref="I4:I5"/>
    <mergeCell ref="J4:J5"/>
    <mergeCell ref="K4:K5"/>
    <mergeCell ref="L4:L5"/>
    <mergeCell ref="M4:M5"/>
    <mergeCell ref="C3:D3"/>
    <mergeCell ref="E3:F3"/>
  </mergeCells>
  <conditionalFormatting sqref="A6:C15 E6:E15 G6:M15">
    <cfRule type="expression" dxfId="184" priority="19">
      <formula>MOD(ROW(),2)=0</formula>
    </cfRule>
  </conditionalFormatting>
  <conditionalFormatting sqref="M22">
    <cfRule type="expression" dxfId="183" priority="12">
      <formula>$M$22&lt;=$M$21</formula>
    </cfRule>
  </conditionalFormatting>
  <conditionalFormatting sqref="M22">
    <cfRule type="expression" dxfId="182" priority="14">
      <formula>$M$22&gt;$M$21</formula>
    </cfRule>
  </conditionalFormatting>
  <hyperlinks>
    <hyperlink ref="A3:B3" location="'Budget Category'!A1" display="Object Code" xr:uid="{0F9A7820-B603-4223-B70D-66749758693F}"/>
  </hyperlinks>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1" id="{1DCE8BA6-C1EA-4561-BB49-61629EF76965}">
            <xm:f>$M$23&lt;=Overview!I15</xm:f>
            <x14:dxf>
              <fill>
                <patternFill>
                  <bgColor rgb="FF92D050"/>
                </patternFill>
              </fill>
            </x14:dxf>
          </x14:cfRule>
          <x14:cfRule type="expression" priority="13" id="{C0BAA386-3823-40F3-A313-70B1573272C7}">
            <xm:f>$M$23&gt;Overview!I15</xm:f>
            <x14:dxf>
              <font>
                <b/>
                <i val="0"/>
                <color theme="0"/>
              </font>
              <fill>
                <patternFill>
                  <bgColor rgb="FFFF0000"/>
                </patternFill>
              </fill>
            </x14:dxf>
          </x14:cfRule>
          <xm:sqref>M23</xm:sqref>
        </x14:conditionalFormatting>
        <x14:conditionalFormatting xmlns:xm="http://schemas.microsoft.com/office/excel/2006/main">
          <x14:cfRule type="expression" priority="7" id="{B4B745A8-C223-4CA9-8065-BB43765ADDE3}">
            <xm:f>$M$18='Equitable Share'!K56</xm:f>
            <x14:dxf>
              <fill>
                <patternFill>
                  <bgColor rgb="FF92D050"/>
                </patternFill>
              </fill>
            </x14:dxf>
          </x14:cfRule>
          <x14:cfRule type="expression" priority="8" id="{A85FDA85-B600-46B9-BC24-6F03BEF51CB4}">
            <xm:f>$M$18&lt;&gt;'Equitable Share'!K56</xm:f>
            <x14:dxf>
              <fill>
                <patternFill>
                  <bgColor rgb="FFFF0000"/>
                </patternFill>
              </fill>
            </x14:dxf>
          </x14:cfRule>
          <xm:sqref>M18</xm:sqref>
        </x14:conditionalFormatting>
        <x14:conditionalFormatting xmlns:xm="http://schemas.microsoft.com/office/excel/2006/main">
          <x14:cfRule type="expression" priority="3" id="{F114C4B9-1609-4335-917E-7B599805C5C8}">
            <xm:f>$M$24&lt;&gt;Overview!$G$12</xm:f>
            <x14:dxf>
              <fill>
                <patternFill>
                  <bgColor rgb="FFFF0000"/>
                </patternFill>
              </fill>
            </x14:dxf>
          </x14:cfRule>
          <x14:cfRule type="expression" priority="4" id="{6F72C4AA-C4AA-42D1-9882-BD03FBE60CF9}">
            <xm:f>$M$24=Overview!$G$12</xm:f>
            <x14:dxf>
              <fill>
                <patternFill>
                  <bgColor rgb="FF92D050"/>
                </patternFill>
              </fill>
            </x14:dxf>
          </x14:cfRule>
          <xm:sqref>M24</xm:sqref>
        </x14:conditionalFormatting>
        <x14:conditionalFormatting xmlns:xm="http://schemas.microsoft.com/office/excel/2006/main">
          <x14:cfRule type="expression" priority="1" id="{855CDA68-B62E-4E33-ABC1-2A5C5C59A101}">
            <xm:f>$M$17=Overview!G14</xm:f>
            <x14:dxf>
              <fill>
                <patternFill>
                  <bgColor rgb="FF92D050"/>
                </patternFill>
              </fill>
            </x14:dxf>
          </x14:cfRule>
          <x14:cfRule type="expression" priority="2" id="{651EBA01-B29D-4FDA-BB99-2971F276F779}">
            <xm:f>$M$17&lt;&gt;Overview!G14</xm:f>
            <x14:dxf>
              <fill>
                <patternFill>
                  <bgColor rgb="FFFF0000"/>
                </patternFill>
              </fill>
            </x14:dxf>
          </x14:cfRule>
          <xm:sqref>M17</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84D1-B96D-4A83-BC92-BC355C41949D}">
  <sheetPr codeName="Sheet1">
    <tabColor rgb="FF92D050"/>
  </sheetPr>
  <dimension ref="A1:S72"/>
  <sheetViews>
    <sheetView zoomScaleNormal="100" workbookViewId="0">
      <selection activeCell="M18" sqref="M18:S35"/>
    </sheetView>
  </sheetViews>
  <sheetFormatPr defaultRowHeight="14.4" x14ac:dyDescent="0.3"/>
  <cols>
    <col min="1" max="1" width="14.21875" customWidth="1"/>
    <col min="2" max="2" width="15.88671875" customWidth="1"/>
    <col min="3" max="3" width="14.21875" customWidth="1"/>
    <col min="4" max="4" width="14.77734375" customWidth="1"/>
    <col min="5" max="6" width="15" customWidth="1"/>
    <col min="7" max="7" width="3.5546875" customWidth="1"/>
  </cols>
  <sheetData>
    <row r="1" spans="1:19" ht="29.4" customHeight="1" thickBot="1" x14ac:dyDescent="0.35">
      <c r="A1" s="597" t="s">
        <v>2034</v>
      </c>
      <c r="B1" s="598"/>
      <c r="C1" s="598"/>
      <c r="D1" s="598"/>
      <c r="E1" s="598"/>
      <c r="F1" s="598"/>
      <c r="G1" s="598"/>
      <c r="H1" s="598"/>
      <c r="I1" s="598"/>
      <c r="J1" s="598"/>
      <c r="K1" s="598"/>
      <c r="L1" s="598"/>
      <c r="M1" s="598"/>
      <c r="N1" s="598"/>
      <c r="O1" s="598"/>
      <c r="P1" s="598"/>
      <c r="Q1" s="598"/>
      <c r="R1" s="598"/>
      <c r="S1" s="599"/>
    </row>
    <row r="2" spans="1:19" ht="15" thickBot="1" x14ac:dyDescent="0.35">
      <c r="A2" s="275" t="s">
        <v>2036</v>
      </c>
      <c r="B2" s="276" t="s">
        <v>2061</v>
      </c>
      <c r="C2" s="268"/>
      <c r="D2" s="275" t="s">
        <v>2035</v>
      </c>
      <c r="E2" s="604"/>
      <c r="F2" s="604"/>
      <c r="G2" s="268"/>
      <c r="H2" s="268"/>
      <c r="I2" s="268"/>
      <c r="J2" s="268"/>
      <c r="K2" s="268"/>
      <c r="L2" s="268"/>
      <c r="M2" s="268"/>
      <c r="N2" s="268"/>
      <c r="O2" s="268"/>
      <c r="P2" s="268"/>
      <c r="Q2" s="268"/>
      <c r="R2" s="268"/>
      <c r="S2" s="269"/>
    </row>
    <row r="3" spans="1:19" x14ac:dyDescent="0.3">
      <c r="A3" s="629" t="s">
        <v>2037</v>
      </c>
      <c r="B3" s="630"/>
      <c r="C3" s="630" t="s">
        <v>2038</v>
      </c>
      <c r="D3" s="630"/>
      <c r="E3" s="630" t="s">
        <v>2039</v>
      </c>
      <c r="F3" s="638"/>
      <c r="G3" s="268"/>
      <c r="H3" s="268"/>
      <c r="I3" s="268"/>
      <c r="J3" s="268"/>
      <c r="K3" s="268"/>
      <c r="L3" s="268"/>
      <c r="M3" s="268"/>
      <c r="N3" s="268"/>
      <c r="O3" s="268"/>
      <c r="P3" s="268"/>
      <c r="Q3" s="268"/>
      <c r="R3" s="268"/>
      <c r="S3" s="269"/>
    </row>
    <row r="4" spans="1:19" ht="15" thickBot="1" x14ac:dyDescent="0.35">
      <c r="A4" s="639">
        <f>Overview!C8</f>
        <v>0</v>
      </c>
      <c r="B4" s="640"/>
      <c r="C4" s="641">
        <f>Overview!G8</f>
        <v>0</v>
      </c>
      <c r="D4" s="641"/>
      <c r="E4" s="642">
        <f>Overview!K8</f>
        <v>0</v>
      </c>
      <c r="F4" s="643"/>
      <c r="G4" s="268"/>
      <c r="H4" s="268"/>
      <c r="I4" s="268"/>
      <c r="J4" s="268"/>
      <c r="K4" s="268"/>
      <c r="L4" s="268"/>
      <c r="M4" s="268"/>
      <c r="N4" s="268"/>
      <c r="O4" s="268"/>
      <c r="P4" s="268"/>
      <c r="Q4" s="268"/>
      <c r="R4" s="268"/>
      <c r="S4" s="269"/>
    </row>
    <row r="5" spans="1:19" ht="29.4" customHeight="1" x14ac:dyDescent="0.3">
      <c r="A5" s="629" t="s">
        <v>2040</v>
      </c>
      <c r="B5" s="630"/>
      <c r="C5" s="630" t="s">
        <v>2041</v>
      </c>
      <c r="D5" s="630"/>
      <c r="E5" s="631" t="s">
        <v>2042</v>
      </c>
      <c r="F5" s="632"/>
      <c r="G5" s="268"/>
      <c r="H5" s="268"/>
      <c r="I5" s="268"/>
      <c r="J5" s="268"/>
      <c r="K5" s="268"/>
      <c r="L5" s="268"/>
      <c r="M5" s="268"/>
      <c r="N5" s="268"/>
      <c r="O5" s="268"/>
      <c r="P5" s="268"/>
      <c r="Q5" s="268"/>
      <c r="R5" s="268"/>
      <c r="S5" s="269"/>
    </row>
    <row r="6" spans="1:19" ht="15" thickBot="1" x14ac:dyDescent="0.35">
      <c r="A6" s="633" t="str">
        <f>Overview!G9</f>
        <v/>
      </c>
      <c r="B6" s="634"/>
      <c r="C6" s="635">
        <f>Overview!G10</f>
        <v>0</v>
      </c>
      <c r="D6" s="634"/>
      <c r="E6" s="636" t="str">
        <f>IFERROR(C6/A6,"")</f>
        <v/>
      </c>
      <c r="F6" s="637"/>
      <c r="G6" s="268"/>
      <c r="H6" s="268"/>
      <c r="I6" s="268"/>
      <c r="J6" s="268"/>
      <c r="K6" s="268"/>
      <c r="L6" s="268"/>
      <c r="M6" s="268"/>
      <c r="N6" s="268"/>
      <c r="O6" s="268"/>
      <c r="P6" s="268"/>
      <c r="Q6" s="268"/>
      <c r="R6" s="268"/>
      <c r="S6" s="269"/>
    </row>
    <row r="7" spans="1:19" x14ac:dyDescent="0.3">
      <c r="A7" s="270"/>
      <c r="B7" s="268"/>
      <c r="C7" s="268"/>
      <c r="D7" s="268"/>
      <c r="E7" s="268"/>
      <c r="F7" s="268"/>
      <c r="G7" s="268"/>
      <c r="H7" s="268"/>
      <c r="I7" s="268"/>
      <c r="J7" s="268"/>
      <c r="K7" s="268"/>
      <c r="L7" s="268"/>
      <c r="M7" s="268"/>
      <c r="N7" s="268"/>
      <c r="O7" s="268"/>
      <c r="P7" s="268"/>
      <c r="Q7" s="268"/>
      <c r="R7" s="268"/>
      <c r="S7" s="269"/>
    </row>
    <row r="8" spans="1:19" x14ac:dyDescent="0.3">
      <c r="A8" s="621" t="s">
        <v>2044</v>
      </c>
      <c r="B8" s="602"/>
      <c r="C8" s="266"/>
      <c r="D8" s="267"/>
      <c r="E8" s="602" t="s">
        <v>2043</v>
      </c>
      <c r="F8" s="602"/>
      <c r="G8" s="268"/>
      <c r="H8" s="268"/>
      <c r="I8" s="268"/>
      <c r="J8" s="268"/>
      <c r="K8" s="268"/>
      <c r="L8" s="268"/>
      <c r="M8" s="268"/>
      <c r="N8" s="268"/>
      <c r="O8" s="268"/>
      <c r="P8" s="268"/>
      <c r="Q8" s="268"/>
      <c r="R8" s="268"/>
      <c r="S8" s="269"/>
    </row>
    <row r="9" spans="1:19" x14ac:dyDescent="0.3">
      <c r="A9" s="600" t="s">
        <v>2060</v>
      </c>
      <c r="B9" s="601"/>
      <c r="C9" s="271"/>
      <c r="D9" s="271"/>
      <c r="E9" s="600" t="s">
        <v>2060</v>
      </c>
      <c r="F9" s="601"/>
      <c r="G9" s="268"/>
      <c r="H9" s="268"/>
      <c r="I9" s="268"/>
      <c r="J9" s="268"/>
      <c r="K9" s="268"/>
      <c r="L9" s="268"/>
      <c r="M9" s="268"/>
      <c r="N9" s="268"/>
      <c r="O9" s="268"/>
      <c r="P9" s="268"/>
      <c r="Q9" s="268"/>
      <c r="R9" s="268"/>
      <c r="S9" s="269"/>
    </row>
    <row r="10" spans="1:19" x14ac:dyDescent="0.3">
      <c r="A10" s="621" t="s">
        <v>2045</v>
      </c>
      <c r="B10" s="602"/>
      <c r="C10" s="268"/>
      <c r="D10" s="268"/>
      <c r="E10" s="602" t="s">
        <v>2045</v>
      </c>
      <c r="F10" s="602"/>
      <c r="G10" s="268"/>
      <c r="H10" s="268"/>
      <c r="I10" s="268"/>
      <c r="J10" s="268"/>
      <c r="K10" s="268"/>
      <c r="L10" s="268"/>
      <c r="M10" s="268"/>
      <c r="N10" s="268"/>
      <c r="O10" s="268"/>
      <c r="P10" s="268"/>
      <c r="Q10" s="268"/>
      <c r="R10" s="268"/>
      <c r="S10" s="269"/>
    </row>
    <row r="11" spans="1:19" x14ac:dyDescent="0.3">
      <c r="A11" s="622">
        <f>IF('Main Budget'!M23&gt;Overview!I15,'Main Budget'!M23-Overview!I15,0)</f>
        <v>0</v>
      </c>
      <c r="B11" s="623"/>
      <c r="C11" s="268"/>
      <c r="D11" s="268"/>
      <c r="E11" s="624">
        <f>IF('Main Budget'!M22&gt;'Main Budget'!M21,'Main Budget'!M22-'Main Budget'!M21,0)</f>
        <v>0</v>
      </c>
      <c r="F11" s="624"/>
      <c r="G11" s="268"/>
      <c r="H11" s="268"/>
      <c r="I11" s="268"/>
      <c r="J11" s="268"/>
      <c r="K11" s="268"/>
      <c r="L11" s="268"/>
      <c r="M11" s="268"/>
      <c r="N11" s="268"/>
      <c r="O11" s="268"/>
      <c r="P11" s="268"/>
      <c r="Q11" s="268"/>
      <c r="R11" s="268"/>
      <c r="S11" s="269"/>
    </row>
    <row r="12" spans="1:19" ht="15" thickBot="1" x14ac:dyDescent="0.35">
      <c r="A12" s="270"/>
      <c r="B12" s="268"/>
      <c r="C12" s="268"/>
      <c r="D12" s="268"/>
      <c r="E12" s="268"/>
      <c r="F12" s="268"/>
      <c r="G12" s="268"/>
      <c r="H12" s="268"/>
      <c r="I12" s="268"/>
      <c r="J12" s="268"/>
      <c r="K12" s="268"/>
      <c r="L12" s="268"/>
      <c r="M12" s="268"/>
      <c r="N12" s="268"/>
      <c r="O12" s="268"/>
      <c r="P12" s="268"/>
      <c r="Q12" s="268"/>
      <c r="R12" s="268"/>
      <c r="S12" s="269"/>
    </row>
    <row r="13" spans="1:19" ht="15" thickBot="1" x14ac:dyDescent="0.35">
      <c r="A13" s="621" t="s">
        <v>2046</v>
      </c>
      <c r="B13" s="602"/>
      <c r="C13" s="602"/>
      <c r="D13" s="602"/>
      <c r="E13" s="602"/>
      <c r="F13" s="602"/>
      <c r="G13" s="268"/>
      <c r="H13" s="605" t="s">
        <v>2049</v>
      </c>
      <c r="I13" s="606"/>
      <c r="J13" s="606"/>
      <c r="K13" s="606"/>
      <c r="L13" s="606"/>
      <c r="M13" s="606"/>
      <c r="N13" s="606"/>
      <c r="O13" s="606"/>
      <c r="P13" s="606"/>
      <c r="Q13" s="606"/>
      <c r="R13" s="606"/>
      <c r="S13" s="607"/>
    </row>
    <row r="14" spans="1:19" ht="14.4" customHeight="1" thickBot="1" x14ac:dyDescent="0.35">
      <c r="A14" s="627" t="s">
        <v>2060</v>
      </c>
      <c r="B14" s="628"/>
      <c r="C14" s="612" t="s">
        <v>2054</v>
      </c>
      <c r="D14" s="613"/>
      <c r="E14" s="613"/>
      <c r="F14" s="614"/>
      <c r="G14" s="268"/>
      <c r="H14" s="608"/>
      <c r="I14" s="609"/>
      <c r="J14" s="609"/>
      <c r="K14" s="609"/>
      <c r="L14" s="609"/>
      <c r="M14" s="609"/>
      <c r="N14" s="609"/>
      <c r="O14" s="609"/>
      <c r="P14" s="609"/>
      <c r="Q14" s="609"/>
      <c r="R14" s="609"/>
      <c r="S14" s="610"/>
    </row>
    <row r="15" spans="1:19" x14ac:dyDescent="0.3">
      <c r="A15" s="627"/>
      <c r="B15" s="628"/>
      <c r="C15" s="615"/>
      <c r="D15" s="611"/>
      <c r="E15" s="611"/>
      <c r="F15" s="616"/>
      <c r="G15" s="268"/>
      <c r="H15" s="602" t="s">
        <v>2050</v>
      </c>
      <c r="I15" s="602"/>
      <c r="J15" s="602"/>
      <c r="K15" s="602"/>
      <c r="L15" s="602" t="s">
        <v>2051</v>
      </c>
      <c r="M15" s="602"/>
      <c r="N15" s="602"/>
      <c r="O15" s="602"/>
      <c r="P15" s="602" t="s">
        <v>2052</v>
      </c>
      <c r="Q15" s="602"/>
      <c r="R15" s="602"/>
      <c r="S15" s="603"/>
    </row>
    <row r="16" spans="1:19" x14ac:dyDescent="0.3">
      <c r="A16" s="627"/>
      <c r="B16" s="628"/>
      <c r="C16" s="615"/>
      <c r="D16" s="611"/>
      <c r="E16" s="611"/>
      <c r="F16" s="616"/>
      <c r="G16" s="268"/>
      <c r="H16" s="620" t="s">
        <v>2061</v>
      </c>
      <c r="I16" s="620"/>
      <c r="J16" s="620"/>
      <c r="K16" s="620"/>
      <c r="L16" s="620" t="s">
        <v>2060</v>
      </c>
      <c r="M16" s="620"/>
      <c r="N16" s="620"/>
      <c r="O16" s="620"/>
      <c r="P16" s="620" t="s">
        <v>2060</v>
      </c>
      <c r="Q16" s="620"/>
      <c r="R16" s="620"/>
      <c r="S16" s="620"/>
    </row>
    <row r="17" spans="1:19" ht="15" thickBot="1" x14ac:dyDescent="0.35">
      <c r="A17" s="270"/>
      <c r="B17" s="268"/>
      <c r="C17" s="615"/>
      <c r="D17" s="611"/>
      <c r="E17" s="611"/>
      <c r="F17" s="616"/>
      <c r="G17" s="268"/>
      <c r="H17" s="268"/>
      <c r="I17" s="268"/>
      <c r="J17" s="268"/>
      <c r="K17" s="268"/>
      <c r="L17" s="268"/>
      <c r="M17" s="268"/>
      <c r="N17" s="268"/>
      <c r="O17" s="268"/>
      <c r="P17" s="268"/>
      <c r="Q17" s="268"/>
      <c r="R17" s="268"/>
      <c r="S17" s="269"/>
    </row>
    <row r="18" spans="1:19" x14ac:dyDescent="0.3">
      <c r="A18" s="270"/>
      <c r="B18" s="268"/>
      <c r="C18" s="615"/>
      <c r="D18" s="611"/>
      <c r="E18" s="611"/>
      <c r="F18" s="616"/>
      <c r="G18" s="268"/>
      <c r="H18" s="602" t="s">
        <v>2053</v>
      </c>
      <c r="I18" s="602"/>
      <c r="J18" s="602"/>
      <c r="K18" s="602"/>
      <c r="L18" s="268"/>
      <c r="M18" s="612" t="s">
        <v>2054</v>
      </c>
      <c r="N18" s="613"/>
      <c r="O18" s="613"/>
      <c r="P18" s="613"/>
      <c r="Q18" s="613"/>
      <c r="R18" s="613"/>
      <c r="S18" s="614"/>
    </row>
    <row r="19" spans="1:19" x14ac:dyDescent="0.3">
      <c r="A19" s="270"/>
      <c r="B19" s="268"/>
      <c r="C19" s="615"/>
      <c r="D19" s="611"/>
      <c r="E19" s="611"/>
      <c r="F19" s="616"/>
      <c r="G19" s="268"/>
      <c r="H19" s="611" t="s">
        <v>2054</v>
      </c>
      <c r="I19" s="611"/>
      <c r="J19" s="611"/>
      <c r="K19" s="611"/>
      <c r="L19" s="268"/>
      <c r="M19" s="615"/>
      <c r="N19" s="611"/>
      <c r="O19" s="611"/>
      <c r="P19" s="611"/>
      <c r="Q19" s="611"/>
      <c r="R19" s="611"/>
      <c r="S19" s="616"/>
    </row>
    <row r="20" spans="1:19" x14ac:dyDescent="0.3">
      <c r="A20" s="270"/>
      <c r="B20" s="268"/>
      <c r="C20" s="615"/>
      <c r="D20" s="611"/>
      <c r="E20" s="611"/>
      <c r="F20" s="616"/>
      <c r="G20" s="268"/>
      <c r="H20" s="611"/>
      <c r="I20" s="611"/>
      <c r="J20" s="611"/>
      <c r="K20" s="611"/>
      <c r="L20" s="268"/>
      <c r="M20" s="615"/>
      <c r="N20" s="611"/>
      <c r="O20" s="611"/>
      <c r="P20" s="611"/>
      <c r="Q20" s="611"/>
      <c r="R20" s="611"/>
      <c r="S20" s="616"/>
    </row>
    <row r="21" spans="1:19" x14ac:dyDescent="0.3">
      <c r="A21" s="270"/>
      <c r="B21" s="268"/>
      <c r="C21" s="615"/>
      <c r="D21" s="611"/>
      <c r="E21" s="611"/>
      <c r="F21" s="616"/>
      <c r="G21" s="268"/>
      <c r="H21" s="611"/>
      <c r="I21" s="611"/>
      <c r="J21" s="611"/>
      <c r="K21" s="611"/>
      <c r="L21" s="268"/>
      <c r="M21" s="615"/>
      <c r="N21" s="611"/>
      <c r="O21" s="611"/>
      <c r="P21" s="611"/>
      <c r="Q21" s="611"/>
      <c r="R21" s="611"/>
      <c r="S21" s="616"/>
    </row>
    <row r="22" spans="1:19" x14ac:dyDescent="0.3">
      <c r="A22" s="270"/>
      <c r="B22" s="268"/>
      <c r="C22" s="615"/>
      <c r="D22" s="611"/>
      <c r="E22" s="611"/>
      <c r="F22" s="616"/>
      <c r="G22" s="268"/>
      <c r="H22" s="611"/>
      <c r="I22" s="611"/>
      <c r="J22" s="611"/>
      <c r="K22" s="611"/>
      <c r="L22" s="268"/>
      <c r="M22" s="615"/>
      <c r="N22" s="611"/>
      <c r="O22" s="611"/>
      <c r="P22" s="611"/>
      <c r="Q22" s="611"/>
      <c r="R22" s="611"/>
      <c r="S22" s="616"/>
    </row>
    <row r="23" spans="1:19" x14ac:dyDescent="0.3">
      <c r="A23" s="270"/>
      <c r="B23" s="268"/>
      <c r="C23" s="615"/>
      <c r="D23" s="611"/>
      <c r="E23" s="611"/>
      <c r="F23" s="616"/>
      <c r="G23" s="268"/>
      <c r="H23" s="611"/>
      <c r="I23" s="611"/>
      <c r="J23" s="611"/>
      <c r="K23" s="611"/>
      <c r="L23" s="268"/>
      <c r="M23" s="615"/>
      <c r="N23" s="611"/>
      <c r="O23" s="611"/>
      <c r="P23" s="611"/>
      <c r="Q23" s="611"/>
      <c r="R23" s="611"/>
      <c r="S23" s="616"/>
    </row>
    <row r="24" spans="1:19" x14ac:dyDescent="0.3">
      <c r="A24" s="270"/>
      <c r="B24" s="268"/>
      <c r="C24" s="615"/>
      <c r="D24" s="611"/>
      <c r="E24" s="611"/>
      <c r="F24" s="616"/>
      <c r="G24" s="268"/>
      <c r="H24" s="611"/>
      <c r="I24" s="611"/>
      <c r="J24" s="611"/>
      <c r="K24" s="611"/>
      <c r="L24" s="268"/>
      <c r="M24" s="615"/>
      <c r="N24" s="611"/>
      <c r="O24" s="611"/>
      <c r="P24" s="611"/>
      <c r="Q24" s="611"/>
      <c r="R24" s="611"/>
      <c r="S24" s="616"/>
    </row>
    <row r="25" spans="1:19" x14ac:dyDescent="0.3">
      <c r="A25" s="270"/>
      <c r="B25" s="268"/>
      <c r="C25" s="615"/>
      <c r="D25" s="611"/>
      <c r="E25" s="611"/>
      <c r="F25" s="616"/>
      <c r="G25" s="268"/>
      <c r="H25" s="611"/>
      <c r="I25" s="611"/>
      <c r="J25" s="611"/>
      <c r="K25" s="611"/>
      <c r="L25" s="268"/>
      <c r="M25" s="615"/>
      <c r="N25" s="611"/>
      <c r="O25" s="611"/>
      <c r="P25" s="611"/>
      <c r="Q25" s="611"/>
      <c r="R25" s="611"/>
      <c r="S25" s="616"/>
    </row>
    <row r="26" spans="1:19" x14ac:dyDescent="0.3">
      <c r="A26" s="270"/>
      <c r="B26" s="268"/>
      <c r="C26" s="615"/>
      <c r="D26" s="611"/>
      <c r="E26" s="611"/>
      <c r="F26" s="616"/>
      <c r="G26" s="268"/>
      <c r="H26" s="611"/>
      <c r="I26" s="611"/>
      <c r="J26" s="611"/>
      <c r="K26" s="611"/>
      <c r="L26" s="268"/>
      <c r="M26" s="615"/>
      <c r="N26" s="611"/>
      <c r="O26" s="611"/>
      <c r="P26" s="611"/>
      <c r="Q26" s="611"/>
      <c r="R26" s="611"/>
      <c r="S26" s="616"/>
    </row>
    <row r="27" spans="1:19" x14ac:dyDescent="0.3">
      <c r="A27" s="270"/>
      <c r="B27" s="268"/>
      <c r="C27" s="615"/>
      <c r="D27" s="611"/>
      <c r="E27" s="611"/>
      <c r="F27" s="616"/>
      <c r="G27" s="268"/>
      <c r="H27" s="268"/>
      <c r="I27" s="268"/>
      <c r="J27" s="268"/>
      <c r="K27" s="268"/>
      <c r="L27" s="268"/>
      <c r="M27" s="615"/>
      <c r="N27" s="611"/>
      <c r="O27" s="611"/>
      <c r="P27" s="611"/>
      <c r="Q27" s="611"/>
      <c r="R27" s="611"/>
      <c r="S27" s="616"/>
    </row>
    <row r="28" spans="1:19" x14ac:dyDescent="0.3">
      <c r="A28" s="270"/>
      <c r="B28" s="268"/>
      <c r="C28" s="615"/>
      <c r="D28" s="611"/>
      <c r="E28" s="611"/>
      <c r="F28" s="616"/>
      <c r="G28" s="268"/>
      <c r="H28" s="268"/>
      <c r="I28" s="268"/>
      <c r="J28" s="268"/>
      <c r="K28" s="268"/>
      <c r="L28" s="268"/>
      <c r="M28" s="615"/>
      <c r="N28" s="611"/>
      <c r="O28" s="611"/>
      <c r="P28" s="611"/>
      <c r="Q28" s="611"/>
      <c r="R28" s="611"/>
      <c r="S28" s="616"/>
    </row>
    <row r="29" spans="1:19" x14ac:dyDescent="0.3">
      <c r="A29" s="270"/>
      <c r="B29" s="268"/>
      <c r="C29" s="615"/>
      <c r="D29" s="611"/>
      <c r="E29" s="611"/>
      <c r="F29" s="616"/>
      <c r="G29" s="268"/>
      <c r="H29" s="268"/>
      <c r="I29" s="268"/>
      <c r="J29" s="268"/>
      <c r="K29" s="268"/>
      <c r="L29" s="268"/>
      <c r="M29" s="615"/>
      <c r="N29" s="611"/>
      <c r="O29" s="611"/>
      <c r="P29" s="611"/>
      <c r="Q29" s="611"/>
      <c r="R29" s="611"/>
      <c r="S29" s="616"/>
    </row>
    <row r="30" spans="1:19" x14ac:dyDescent="0.3">
      <c r="A30" s="270"/>
      <c r="B30" s="268"/>
      <c r="C30" s="615"/>
      <c r="D30" s="611"/>
      <c r="E30" s="611"/>
      <c r="F30" s="616"/>
      <c r="G30" s="268"/>
      <c r="H30" s="268"/>
      <c r="I30" s="268"/>
      <c r="J30" s="268"/>
      <c r="K30" s="268"/>
      <c r="L30" s="268"/>
      <c r="M30" s="615"/>
      <c r="N30" s="611"/>
      <c r="O30" s="611"/>
      <c r="P30" s="611"/>
      <c r="Q30" s="611"/>
      <c r="R30" s="611"/>
      <c r="S30" s="616"/>
    </row>
    <row r="31" spans="1:19" ht="15" thickBot="1" x14ac:dyDescent="0.35">
      <c r="A31" s="270"/>
      <c r="B31" s="268"/>
      <c r="C31" s="617"/>
      <c r="D31" s="618"/>
      <c r="E31" s="618"/>
      <c r="F31" s="619"/>
      <c r="G31" s="268"/>
      <c r="H31" s="268"/>
      <c r="I31" s="268"/>
      <c r="J31" s="268"/>
      <c r="K31" s="268"/>
      <c r="L31" s="268"/>
      <c r="M31" s="615"/>
      <c r="N31" s="611"/>
      <c r="O31" s="611"/>
      <c r="P31" s="611"/>
      <c r="Q31" s="611"/>
      <c r="R31" s="611"/>
      <c r="S31" s="616"/>
    </row>
    <row r="32" spans="1:19" x14ac:dyDescent="0.3">
      <c r="A32" s="270"/>
      <c r="B32" s="268"/>
      <c r="C32" s="268"/>
      <c r="D32" s="268"/>
      <c r="E32" s="268"/>
      <c r="F32" s="268"/>
      <c r="G32" s="268"/>
      <c r="H32" s="268"/>
      <c r="I32" s="268"/>
      <c r="J32" s="268"/>
      <c r="K32" s="268"/>
      <c r="L32" s="268"/>
      <c r="M32" s="615"/>
      <c r="N32" s="611"/>
      <c r="O32" s="611"/>
      <c r="P32" s="611"/>
      <c r="Q32" s="611"/>
      <c r="R32" s="611"/>
      <c r="S32" s="616"/>
    </row>
    <row r="33" spans="1:19" ht="15" thickBot="1" x14ac:dyDescent="0.35">
      <c r="A33" s="621" t="s">
        <v>2047</v>
      </c>
      <c r="B33" s="602"/>
      <c r="C33" s="602"/>
      <c r="D33" s="602"/>
      <c r="E33" s="602"/>
      <c r="F33" s="602"/>
      <c r="G33" s="268"/>
      <c r="H33" s="268"/>
      <c r="I33" s="268"/>
      <c r="J33" s="268"/>
      <c r="K33" s="268"/>
      <c r="L33" s="268"/>
      <c r="M33" s="615"/>
      <c r="N33" s="611"/>
      <c r="O33" s="611"/>
      <c r="P33" s="611"/>
      <c r="Q33" s="611"/>
      <c r="R33" s="611"/>
      <c r="S33" s="616"/>
    </row>
    <row r="34" spans="1:19" x14ac:dyDescent="0.3">
      <c r="A34" s="627" t="s">
        <v>2060</v>
      </c>
      <c r="B34" s="628"/>
      <c r="C34" s="612" t="s">
        <v>2054</v>
      </c>
      <c r="D34" s="613"/>
      <c r="E34" s="613"/>
      <c r="F34" s="614"/>
      <c r="G34" s="268"/>
      <c r="H34" s="268"/>
      <c r="I34" s="268"/>
      <c r="J34" s="268"/>
      <c r="K34" s="268"/>
      <c r="L34" s="268"/>
      <c r="M34" s="615"/>
      <c r="N34" s="611"/>
      <c r="O34" s="611"/>
      <c r="P34" s="611"/>
      <c r="Q34" s="611"/>
      <c r="R34" s="611"/>
      <c r="S34" s="616"/>
    </row>
    <row r="35" spans="1:19" ht="15" thickBot="1" x14ac:dyDescent="0.35">
      <c r="A35" s="627"/>
      <c r="B35" s="628"/>
      <c r="C35" s="615"/>
      <c r="D35" s="611"/>
      <c r="E35" s="611"/>
      <c r="F35" s="616"/>
      <c r="G35" s="268"/>
      <c r="H35" s="268"/>
      <c r="I35" s="268"/>
      <c r="J35" s="268"/>
      <c r="K35" s="268"/>
      <c r="L35" s="268"/>
      <c r="M35" s="617"/>
      <c r="N35" s="618"/>
      <c r="O35" s="618"/>
      <c r="P35" s="618"/>
      <c r="Q35" s="618"/>
      <c r="R35" s="618"/>
      <c r="S35" s="619"/>
    </row>
    <row r="36" spans="1:19" x14ac:dyDescent="0.3">
      <c r="A36" s="627"/>
      <c r="B36" s="628"/>
      <c r="C36" s="615"/>
      <c r="D36" s="611"/>
      <c r="E36" s="611"/>
      <c r="F36" s="616"/>
      <c r="G36" s="268"/>
      <c r="H36" s="268"/>
      <c r="I36" s="268"/>
      <c r="J36" s="268"/>
      <c r="K36" s="268"/>
      <c r="L36" s="268"/>
      <c r="M36" s="268"/>
      <c r="N36" s="268"/>
      <c r="O36" s="268"/>
      <c r="P36" s="268"/>
      <c r="Q36" s="268"/>
      <c r="R36" s="268"/>
      <c r="S36" s="269"/>
    </row>
    <row r="37" spans="1:19" x14ac:dyDescent="0.3">
      <c r="A37" s="270"/>
      <c r="B37" s="268"/>
      <c r="C37" s="615"/>
      <c r="D37" s="611"/>
      <c r="E37" s="611"/>
      <c r="F37" s="616"/>
      <c r="G37" s="268"/>
      <c r="H37" s="268"/>
      <c r="I37" s="268"/>
      <c r="J37" s="268"/>
      <c r="K37" s="268"/>
      <c r="L37" s="268"/>
      <c r="M37" s="268"/>
      <c r="N37" s="268"/>
      <c r="O37" s="268"/>
      <c r="P37" s="268"/>
      <c r="Q37" s="268"/>
      <c r="R37" s="268"/>
      <c r="S37" s="269"/>
    </row>
    <row r="38" spans="1:19" x14ac:dyDescent="0.3">
      <c r="A38" s="270"/>
      <c r="B38" s="268"/>
      <c r="C38" s="615"/>
      <c r="D38" s="611"/>
      <c r="E38" s="611"/>
      <c r="F38" s="616"/>
      <c r="G38" s="268"/>
      <c r="H38" s="602" t="s">
        <v>2055</v>
      </c>
      <c r="I38" s="602"/>
      <c r="J38" s="602"/>
      <c r="K38" s="602"/>
      <c r="L38" s="602"/>
      <c r="M38" s="602"/>
      <c r="N38" s="602"/>
      <c r="O38" s="602"/>
      <c r="P38" s="602"/>
      <c r="Q38" s="602"/>
      <c r="R38" s="602"/>
      <c r="S38" s="603"/>
    </row>
    <row r="39" spans="1:19" ht="15" thickBot="1" x14ac:dyDescent="0.35">
      <c r="A39" s="270"/>
      <c r="B39" s="268"/>
      <c r="C39" s="615"/>
      <c r="D39" s="611"/>
      <c r="E39" s="611"/>
      <c r="F39" s="616"/>
      <c r="G39" s="268"/>
      <c r="H39" s="268"/>
      <c r="I39" s="268"/>
      <c r="J39" s="268"/>
      <c r="K39" s="268"/>
      <c r="L39" s="268"/>
      <c r="M39" s="268"/>
      <c r="N39" s="268"/>
      <c r="O39" s="268"/>
      <c r="P39" s="268"/>
      <c r="Q39" s="268"/>
      <c r="R39" s="268"/>
      <c r="S39" s="269"/>
    </row>
    <row r="40" spans="1:19" x14ac:dyDescent="0.3">
      <c r="A40" s="270"/>
      <c r="B40" s="268"/>
      <c r="C40" s="615"/>
      <c r="D40" s="611"/>
      <c r="E40" s="611"/>
      <c r="F40" s="616"/>
      <c r="G40" s="268"/>
      <c r="H40" s="602" t="s">
        <v>2057</v>
      </c>
      <c r="I40" s="602"/>
      <c r="J40" s="602"/>
      <c r="K40" s="268"/>
      <c r="L40" s="602" t="s">
        <v>2056</v>
      </c>
      <c r="M40" s="602"/>
      <c r="N40" s="602"/>
      <c r="O40" s="612" t="s">
        <v>2054</v>
      </c>
      <c r="P40" s="613"/>
      <c r="Q40" s="613"/>
      <c r="R40" s="613"/>
      <c r="S40" s="614"/>
    </row>
    <row r="41" spans="1:19" x14ac:dyDescent="0.3">
      <c r="A41" s="270"/>
      <c r="B41" s="268"/>
      <c r="C41" s="615"/>
      <c r="D41" s="611"/>
      <c r="E41" s="611"/>
      <c r="F41" s="616"/>
      <c r="G41" s="268"/>
      <c r="H41" s="625">
        <f>Overview!C8</f>
        <v>0</v>
      </c>
      <c r="I41" s="625"/>
      <c r="J41" s="625"/>
      <c r="K41" s="268"/>
      <c r="L41" s="626"/>
      <c r="M41" s="626"/>
      <c r="N41" s="626"/>
      <c r="O41" s="615"/>
      <c r="P41" s="611"/>
      <c r="Q41" s="611"/>
      <c r="R41" s="611"/>
      <c r="S41" s="616"/>
    </row>
    <row r="42" spans="1:19" x14ac:dyDescent="0.3">
      <c r="A42" s="270"/>
      <c r="B42" s="268"/>
      <c r="C42" s="615"/>
      <c r="D42" s="611"/>
      <c r="E42" s="611"/>
      <c r="F42" s="616"/>
      <c r="G42" s="268"/>
      <c r="H42" s="268"/>
      <c r="I42" s="268"/>
      <c r="J42" s="268"/>
      <c r="K42" s="268"/>
      <c r="L42" s="268"/>
      <c r="M42" s="268"/>
      <c r="N42" s="268"/>
      <c r="O42" s="615"/>
      <c r="P42" s="611"/>
      <c r="Q42" s="611"/>
      <c r="R42" s="611"/>
      <c r="S42" s="616"/>
    </row>
    <row r="43" spans="1:19" x14ac:dyDescent="0.3">
      <c r="A43" s="270"/>
      <c r="B43" s="268"/>
      <c r="C43" s="615"/>
      <c r="D43" s="611"/>
      <c r="E43" s="611"/>
      <c r="F43" s="616"/>
      <c r="G43" s="268"/>
      <c r="H43" s="602" t="s">
        <v>2058</v>
      </c>
      <c r="I43" s="602"/>
      <c r="J43" s="602"/>
      <c r="K43" s="268"/>
      <c r="L43" s="602" t="s">
        <v>2059</v>
      </c>
      <c r="M43" s="602"/>
      <c r="N43" s="602"/>
      <c r="O43" s="615"/>
      <c r="P43" s="611"/>
      <c r="Q43" s="611"/>
      <c r="R43" s="611"/>
      <c r="S43" s="616"/>
    </row>
    <row r="44" spans="1:19" ht="15" thickBot="1" x14ac:dyDescent="0.35">
      <c r="A44" s="270"/>
      <c r="B44" s="268"/>
      <c r="C44" s="615"/>
      <c r="D44" s="611"/>
      <c r="E44" s="611"/>
      <c r="F44" s="616"/>
      <c r="G44" s="268"/>
      <c r="H44" s="601" t="s">
        <v>2061</v>
      </c>
      <c r="I44" s="601"/>
      <c r="J44" s="601"/>
      <c r="K44" s="268"/>
      <c r="L44" s="601"/>
      <c r="M44" s="601"/>
      <c r="N44" s="601"/>
      <c r="O44" s="617"/>
      <c r="P44" s="618"/>
      <c r="Q44" s="618"/>
      <c r="R44" s="618"/>
      <c r="S44" s="619"/>
    </row>
    <row r="45" spans="1:19" ht="15" thickBot="1" x14ac:dyDescent="0.35">
      <c r="A45" s="270"/>
      <c r="B45" s="268"/>
      <c r="C45" s="615"/>
      <c r="D45" s="611"/>
      <c r="E45" s="611"/>
      <c r="F45" s="616"/>
      <c r="G45" s="268"/>
      <c r="H45" s="268"/>
      <c r="I45" s="268"/>
      <c r="J45" s="268"/>
      <c r="K45" s="268"/>
      <c r="L45" s="268"/>
      <c r="M45" s="268"/>
      <c r="N45" s="268"/>
      <c r="O45" s="268"/>
      <c r="P45" s="268"/>
      <c r="Q45" s="268"/>
      <c r="R45" s="268"/>
      <c r="S45" s="269"/>
    </row>
    <row r="46" spans="1:19" x14ac:dyDescent="0.3">
      <c r="A46" s="270"/>
      <c r="B46" s="268"/>
      <c r="C46" s="615"/>
      <c r="D46" s="611"/>
      <c r="E46" s="611"/>
      <c r="F46" s="616"/>
      <c r="G46" s="268"/>
      <c r="H46" s="602" t="s">
        <v>2057</v>
      </c>
      <c r="I46" s="602"/>
      <c r="J46" s="602"/>
      <c r="K46" s="268"/>
      <c r="L46" s="602" t="s">
        <v>2056</v>
      </c>
      <c r="M46" s="602"/>
      <c r="N46" s="602"/>
      <c r="O46" s="612" t="s">
        <v>2054</v>
      </c>
      <c r="P46" s="613"/>
      <c r="Q46" s="613"/>
      <c r="R46" s="613"/>
      <c r="S46" s="614"/>
    </row>
    <row r="47" spans="1:19" x14ac:dyDescent="0.3">
      <c r="A47" s="270"/>
      <c r="B47" s="268"/>
      <c r="C47" s="615"/>
      <c r="D47" s="611"/>
      <c r="E47" s="611"/>
      <c r="F47" s="616"/>
      <c r="G47" s="268"/>
      <c r="H47" s="625">
        <f>Overview!C8</f>
        <v>0</v>
      </c>
      <c r="I47" s="625"/>
      <c r="J47" s="625"/>
      <c r="K47" s="268"/>
      <c r="L47" s="626"/>
      <c r="M47" s="626"/>
      <c r="N47" s="626"/>
      <c r="O47" s="615"/>
      <c r="P47" s="611"/>
      <c r="Q47" s="611"/>
      <c r="R47" s="611"/>
      <c r="S47" s="616"/>
    </row>
    <row r="48" spans="1:19" x14ac:dyDescent="0.3">
      <c r="A48" s="270"/>
      <c r="B48" s="268"/>
      <c r="C48" s="615"/>
      <c r="D48" s="611"/>
      <c r="E48" s="611"/>
      <c r="F48" s="616"/>
      <c r="G48" s="268"/>
      <c r="H48" s="268"/>
      <c r="I48" s="268"/>
      <c r="J48" s="268"/>
      <c r="K48" s="268"/>
      <c r="L48" s="268"/>
      <c r="M48" s="268"/>
      <c r="N48" s="268"/>
      <c r="O48" s="615"/>
      <c r="P48" s="611"/>
      <c r="Q48" s="611"/>
      <c r="R48" s="611"/>
      <c r="S48" s="616"/>
    </row>
    <row r="49" spans="1:19" x14ac:dyDescent="0.3">
      <c r="A49" s="270"/>
      <c r="B49" s="268"/>
      <c r="C49" s="615"/>
      <c r="D49" s="611"/>
      <c r="E49" s="611"/>
      <c r="F49" s="616"/>
      <c r="G49" s="268"/>
      <c r="H49" s="602" t="s">
        <v>2058</v>
      </c>
      <c r="I49" s="602"/>
      <c r="J49" s="602"/>
      <c r="K49" s="268"/>
      <c r="L49" s="602" t="s">
        <v>2059</v>
      </c>
      <c r="M49" s="602"/>
      <c r="N49" s="602"/>
      <c r="O49" s="615"/>
      <c r="P49" s="611"/>
      <c r="Q49" s="611"/>
      <c r="R49" s="611"/>
      <c r="S49" s="616"/>
    </row>
    <row r="50" spans="1:19" ht="15" thickBot="1" x14ac:dyDescent="0.35">
      <c r="A50" s="270"/>
      <c r="B50" s="268"/>
      <c r="C50" s="615"/>
      <c r="D50" s="611"/>
      <c r="E50" s="611"/>
      <c r="F50" s="616"/>
      <c r="G50" s="268"/>
      <c r="H50" s="601" t="s">
        <v>2061</v>
      </c>
      <c r="I50" s="601"/>
      <c r="J50" s="601"/>
      <c r="K50" s="268"/>
      <c r="L50" s="601"/>
      <c r="M50" s="601"/>
      <c r="N50" s="601"/>
      <c r="O50" s="617"/>
      <c r="P50" s="618"/>
      <c r="Q50" s="618"/>
      <c r="R50" s="618"/>
      <c r="S50" s="619"/>
    </row>
    <row r="51" spans="1:19" ht="15" thickBot="1" x14ac:dyDescent="0.35">
      <c r="A51" s="270"/>
      <c r="B51" s="268"/>
      <c r="C51" s="617"/>
      <c r="D51" s="618"/>
      <c r="E51" s="618"/>
      <c r="F51" s="619"/>
      <c r="G51" s="268"/>
      <c r="H51" s="268"/>
      <c r="I51" s="268"/>
      <c r="J51" s="268"/>
      <c r="K51" s="268"/>
      <c r="L51" s="268"/>
      <c r="M51" s="268"/>
      <c r="N51" s="268"/>
      <c r="O51" s="268"/>
      <c r="P51" s="268"/>
      <c r="Q51" s="268"/>
      <c r="R51" s="268"/>
      <c r="S51" s="269"/>
    </row>
    <row r="52" spans="1:19" x14ac:dyDescent="0.3">
      <c r="A52" s="270"/>
      <c r="B52" s="268"/>
      <c r="C52" s="268"/>
      <c r="D52" s="268"/>
      <c r="E52" s="268"/>
      <c r="F52" s="268"/>
      <c r="G52" s="268"/>
      <c r="H52" s="602" t="s">
        <v>2057</v>
      </c>
      <c r="I52" s="602"/>
      <c r="J52" s="602"/>
      <c r="K52" s="268"/>
      <c r="L52" s="602" t="s">
        <v>2056</v>
      </c>
      <c r="M52" s="602"/>
      <c r="N52" s="602"/>
      <c r="O52" s="612" t="s">
        <v>2054</v>
      </c>
      <c r="P52" s="613"/>
      <c r="Q52" s="613"/>
      <c r="R52" s="613"/>
      <c r="S52" s="614"/>
    </row>
    <row r="53" spans="1:19" ht="15" thickBot="1" x14ac:dyDescent="0.35">
      <c r="A53" s="621" t="s">
        <v>2048</v>
      </c>
      <c r="B53" s="602"/>
      <c r="C53" s="602"/>
      <c r="D53" s="602"/>
      <c r="E53" s="602"/>
      <c r="F53" s="602"/>
      <c r="G53" s="268"/>
      <c r="H53" s="625">
        <f>Overview!C8</f>
        <v>0</v>
      </c>
      <c r="I53" s="625"/>
      <c r="J53" s="625"/>
      <c r="K53" s="268"/>
      <c r="L53" s="626"/>
      <c r="M53" s="626"/>
      <c r="N53" s="626"/>
      <c r="O53" s="615"/>
      <c r="P53" s="611"/>
      <c r="Q53" s="611"/>
      <c r="R53" s="611"/>
      <c r="S53" s="616"/>
    </row>
    <row r="54" spans="1:19" x14ac:dyDescent="0.3">
      <c r="A54" s="627" t="s">
        <v>2060</v>
      </c>
      <c r="B54" s="628"/>
      <c r="C54" s="612" t="s">
        <v>2054</v>
      </c>
      <c r="D54" s="613"/>
      <c r="E54" s="613"/>
      <c r="F54" s="614"/>
      <c r="G54" s="268"/>
      <c r="H54" s="268"/>
      <c r="I54" s="268"/>
      <c r="J54" s="268"/>
      <c r="K54" s="268"/>
      <c r="L54" s="268"/>
      <c r="M54" s="268"/>
      <c r="N54" s="268"/>
      <c r="O54" s="615"/>
      <c r="P54" s="611"/>
      <c r="Q54" s="611"/>
      <c r="R54" s="611"/>
      <c r="S54" s="616"/>
    </row>
    <row r="55" spans="1:19" x14ac:dyDescent="0.3">
      <c r="A55" s="627"/>
      <c r="B55" s="628"/>
      <c r="C55" s="615"/>
      <c r="D55" s="611"/>
      <c r="E55" s="611"/>
      <c r="F55" s="616"/>
      <c r="G55" s="268"/>
      <c r="H55" s="602" t="s">
        <v>2058</v>
      </c>
      <c r="I55" s="602"/>
      <c r="J55" s="602"/>
      <c r="K55" s="268"/>
      <c r="L55" s="602" t="s">
        <v>2059</v>
      </c>
      <c r="M55" s="602"/>
      <c r="N55" s="602"/>
      <c r="O55" s="615"/>
      <c r="P55" s="611"/>
      <c r="Q55" s="611"/>
      <c r="R55" s="611"/>
      <c r="S55" s="616"/>
    </row>
    <row r="56" spans="1:19" ht="15" thickBot="1" x14ac:dyDescent="0.35">
      <c r="A56" s="627"/>
      <c r="B56" s="628"/>
      <c r="C56" s="615"/>
      <c r="D56" s="611"/>
      <c r="E56" s="611"/>
      <c r="F56" s="616"/>
      <c r="G56" s="268"/>
      <c r="H56" s="601" t="s">
        <v>2061</v>
      </c>
      <c r="I56" s="601"/>
      <c r="J56" s="601"/>
      <c r="K56" s="268"/>
      <c r="L56" s="601"/>
      <c r="M56" s="601"/>
      <c r="N56" s="601"/>
      <c r="O56" s="617"/>
      <c r="P56" s="618"/>
      <c r="Q56" s="618"/>
      <c r="R56" s="618"/>
      <c r="S56" s="619"/>
    </row>
    <row r="57" spans="1:19" ht="15" thickBot="1" x14ac:dyDescent="0.35">
      <c r="A57" s="270"/>
      <c r="B57" s="268"/>
      <c r="C57" s="615"/>
      <c r="D57" s="611"/>
      <c r="E57" s="611"/>
      <c r="F57" s="616"/>
      <c r="G57" s="268"/>
      <c r="H57" s="268"/>
      <c r="I57" s="268"/>
      <c r="J57" s="268"/>
      <c r="K57" s="268"/>
      <c r="L57" s="268"/>
      <c r="M57" s="268"/>
      <c r="N57" s="268"/>
      <c r="O57" s="268"/>
      <c r="P57" s="268"/>
      <c r="Q57" s="268"/>
      <c r="R57" s="268"/>
      <c r="S57" s="269"/>
    </row>
    <row r="58" spans="1:19" x14ac:dyDescent="0.3">
      <c r="A58" s="270"/>
      <c r="B58" s="268"/>
      <c r="C58" s="615"/>
      <c r="D58" s="611"/>
      <c r="E58" s="611"/>
      <c r="F58" s="616"/>
      <c r="G58" s="268"/>
      <c r="H58" s="602" t="s">
        <v>2057</v>
      </c>
      <c r="I58" s="602"/>
      <c r="J58" s="602"/>
      <c r="K58" s="268"/>
      <c r="L58" s="602" t="s">
        <v>2056</v>
      </c>
      <c r="M58" s="602"/>
      <c r="N58" s="602"/>
      <c r="O58" s="612" t="s">
        <v>2054</v>
      </c>
      <c r="P58" s="613"/>
      <c r="Q58" s="613"/>
      <c r="R58" s="613"/>
      <c r="S58" s="614"/>
    </row>
    <row r="59" spans="1:19" x14ac:dyDescent="0.3">
      <c r="A59" s="270"/>
      <c r="B59" s="268"/>
      <c r="C59" s="615"/>
      <c r="D59" s="611"/>
      <c r="E59" s="611"/>
      <c r="F59" s="616"/>
      <c r="G59" s="268"/>
      <c r="H59" s="625">
        <f>Overview!C8</f>
        <v>0</v>
      </c>
      <c r="I59" s="625"/>
      <c r="J59" s="625"/>
      <c r="K59" s="268"/>
      <c r="L59" s="626"/>
      <c r="M59" s="626"/>
      <c r="N59" s="626"/>
      <c r="O59" s="615"/>
      <c r="P59" s="611"/>
      <c r="Q59" s="611"/>
      <c r="R59" s="611"/>
      <c r="S59" s="616"/>
    </row>
    <row r="60" spans="1:19" x14ac:dyDescent="0.3">
      <c r="A60" s="270"/>
      <c r="B60" s="268"/>
      <c r="C60" s="615"/>
      <c r="D60" s="611"/>
      <c r="E60" s="611"/>
      <c r="F60" s="616"/>
      <c r="G60" s="268"/>
      <c r="H60" s="268"/>
      <c r="I60" s="268"/>
      <c r="J60" s="268"/>
      <c r="K60" s="268"/>
      <c r="L60" s="268"/>
      <c r="M60" s="268"/>
      <c r="N60" s="268"/>
      <c r="O60" s="615"/>
      <c r="P60" s="611"/>
      <c r="Q60" s="611"/>
      <c r="R60" s="611"/>
      <c r="S60" s="616"/>
    </row>
    <row r="61" spans="1:19" x14ac:dyDescent="0.3">
      <c r="A61" s="270"/>
      <c r="B61" s="268"/>
      <c r="C61" s="615"/>
      <c r="D61" s="611"/>
      <c r="E61" s="611"/>
      <c r="F61" s="616"/>
      <c r="G61" s="268"/>
      <c r="H61" s="602" t="s">
        <v>2058</v>
      </c>
      <c r="I61" s="602"/>
      <c r="J61" s="602"/>
      <c r="K61" s="268"/>
      <c r="L61" s="602" t="s">
        <v>2059</v>
      </c>
      <c r="M61" s="602"/>
      <c r="N61" s="602"/>
      <c r="O61" s="615"/>
      <c r="P61" s="611"/>
      <c r="Q61" s="611"/>
      <c r="R61" s="611"/>
      <c r="S61" s="616"/>
    </row>
    <row r="62" spans="1:19" ht="15" thickBot="1" x14ac:dyDescent="0.35">
      <c r="A62" s="270"/>
      <c r="B62" s="268"/>
      <c r="C62" s="615"/>
      <c r="D62" s="611"/>
      <c r="E62" s="611"/>
      <c r="F62" s="616"/>
      <c r="G62" s="268"/>
      <c r="H62" s="601" t="s">
        <v>2061</v>
      </c>
      <c r="I62" s="601"/>
      <c r="J62" s="601"/>
      <c r="K62" s="268"/>
      <c r="L62" s="601"/>
      <c r="M62" s="601"/>
      <c r="N62" s="601"/>
      <c r="O62" s="617"/>
      <c r="P62" s="618"/>
      <c r="Q62" s="618"/>
      <c r="R62" s="618"/>
      <c r="S62" s="619"/>
    </row>
    <row r="63" spans="1:19" x14ac:dyDescent="0.3">
      <c r="A63" s="270"/>
      <c r="B63" s="268"/>
      <c r="C63" s="615"/>
      <c r="D63" s="611"/>
      <c r="E63" s="611"/>
      <c r="F63" s="616"/>
      <c r="G63" s="268"/>
      <c r="H63" s="268"/>
      <c r="I63" s="268"/>
      <c r="J63" s="268"/>
      <c r="K63" s="268"/>
      <c r="L63" s="268"/>
      <c r="M63" s="268"/>
      <c r="N63" s="268"/>
      <c r="O63" s="268"/>
      <c r="P63" s="268"/>
      <c r="Q63" s="268"/>
      <c r="R63" s="268"/>
      <c r="S63" s="269"/>
    </row>
    <row r="64" spans="1:19" x14ac:dyDescent="0.3">
      <c r="A64" s="270"/>
      <c r="B64" s="268"/>
      <c r="C64" s="615"/>
      <c r="D64" s="611"/>
      <c r="E64" s="611"/>
      <c r="F64" s="616"/>
      <c r="G64" s="268"/>
      <c r="H64" s="268"/>
      <c r="I64" s="268"/>
      <c r="J64" s="268"/>
      <c r="K64" s="268"/>
      <c r="L64" s="268"/>
      <c r="M64" s="268"/>
      <c r="N64" s="268"/>
      <c r="O64" s="268"/>
      <c r="P64" s="268"/>
      <c r="Q64" s="268"/>
      <c r="R64" s="268"/>
      <c r="S64" s="269"/>
    </row>
    <row r="65" spans="1:19" x14ac:dyDescent="0.3">
      <c r="A65" s="270"/>
      <c r="B65" s="268"/>
      <c r="C65" s="615"/>
      <c r="D65" s="611"/>
      <c r="E65" s="611"/>
      <c r="F65" s="616"/>
      <c r="G65" s="268"/>
      <c r="H65" s="268"/>
      <c r="I65" s="268"/>
      <c r="J65" s="268"/>
      <c r="K65" s="268"/>
      <c r="L65" s="268"/>
      <c r="M65" s="268"/>
      <c r="N65" s="268"/>
      <c r="O65" s="268"/>
      <c r="P65" s="268"/>
      <c r="Q65" s="268"/>
      <c r="R65" s="268"/>
      <c r="S65" s="269"/>
    </row>
    <row r="66" spans="1:19" x14ac:dyDescent="0.3">
      <c r="A66" s="270"/>
      <c r="B66" s="268"/>
      <c r="C66" s="615"/>
      <c r="D66" s="611"/>
      <c r="E66" s="611"/>
      <c r="F66" s="616"/>
      <c r="G66" s="268"/>
      <c r="H66" s="268"/>
      <c r="I66" s="268"/>
      <c r="J66" s="268"/>
      <c r="K66" s="268"/>
      <c r="L66" s="268"/>
      <c r="M66" s="268"/>
      <c r="N66" s="268"/>
      <c r="O66" s="268"/>
      <c r="P66" s="268"/>
      <c r="Q66" s="268"/>
      <c r="R66" s="268"/>
      <c r="S66" s="269"/>
    </row>
    <row r="67" spans="1:19" x14ac:dyDescent="0.3">
      <c r="A67" s="270"/>
      <c r="B67" s="268"/>
      <c r="C67" s="615"/>
      <c r="D67" s="611"/>
      <c r="E67" s="611"/>
      <c r="F67" s="616"/>
      <c r="G67" s="268"/>
      <c r="H67" s="268"/>
      <c r="I67" s="268"/>
      <c r="J67" s="268"/>
      <c r="K67" s="268"/>
      <c r="L67" s="268"/>
      <c r="M67" s="268"/>
      <c r="N67" s="268"/>
      <c r="O67" s="268"/>
      <c r="P67" s="268"/>
      <c r="Q67" s="268"/>
      <c r="R67" s="268"/>
      <c r="S67" s="269"/>
    </row>
    <row r="68" spans="1:19" x14ac:dyDescent="0.3">
      <c r="A68" s="270"/>
      <c r="B68" s="268"/>
      <c r="C68" s="615"/>
      <c r="D68" s="611"/>
      <c r="E68" s="611"/>
      <c r="F68" s="616"/>
      <c r="G68" s="268"/>
      <c r="H68" s="268"/>
      <c r="I68" s="268"/>
      <c r="J68" s="268"/>
      <c r="K68" s="268"/>
      <c r="L68" s="268"/>
      <c r="M68" s="268"/>
      <c r="N68" s="268"/>
      <c r="O68" s="268"/>
      <c r="P68" s="268"/>
      <c r="Q68" s="268"/>
      <c r="R68" s="268"/>
      <c r="S68" s="269"/>
    </row>
    <row r="69" spans="1:19" x14ac:dyDescent="0.3">
      <c r="A69" s="270"/>
      <c r="B69" s="268"/>
      <c r="C69" s="615"/>
      <c r="D69" s="611"/>
      <c r="E69" s="611"/>
      <c r="F69" s="616"/>
      <c r="G69" s="268"/>
      <c r="H69" s="268"/>
      <c r="I69" s="268"/>
      <c r="J69" s="268"/>
      <c r="K69" s="268"/>
      <c r="L69" s="268"/>
      <c r="M69" s="268"/>
      <c r="N69" s="268"/>
      <c r="O69" s="268"/>
      <c r="P69" s="268"/>
      <c r="Q69" s="268"/>
      <c r="R69" s="268"/>
      <c r="S69" s="269"/>
    </row>
    <row r="70" spans="1:19" x14ac:dyDescent="0.3">
      <c r="A70" s="270"/>
      <c r="B70" s="268"/>
      <c r="C70" s="615"/>
      <c r="D70" s="611"/>
      <c r="E70" s="611"/>
      <c r="F70" s="616"/>
      <c r="G70" s="268"/>
      <c r="H70" s="268"/>
      <c r="I70" s="268"/>
      <c r="J70" s="268"/>
      <c r="K70" s="268"/>
      <c r="L70" s="268"/>
      <c r="M70" s="268"/>
      <c r="N70" s="268"/>
      <c r="O70" s="268"/>
      <c r="P70" s="268"/>
      <c r="Q70" s="268"/>
      <c r="R70" s="268"/>
      <c r="S70" s="269"/>
    </row>
    <row r="71" spans="1:19" ht="15" thickBot="1" x14ac:dyDescent="0.35">
      <c r="A71" s="272"/>
      <c r="B71" s="273"/>
      <c r="C71" s="617"/>
      <c r="D71" s="618"/>
      <c r="E71" s="618"/>
      <c r="F71" s="619"/>
      <c r="G71" s="273"/>
      <c r="H71" s="273"/>
      <c r="I71" s="273"/>
      <c r="J71" s="273"/>
      <c r="K71" s="273"/>
      <c r="L71" s="273"/>
      <c r="M71" s="273"/>
      <c r="N71" s="273"/>
      <c r="O71" s="273"/>
      <c r="P71" s="273"/>
      <c r="Q71" s="273"/>
      <c r="R71" s="273"/>
      <c r="S71" s="274"/>
    </row>
    <row r="72" spans="1:19" x14ac:dyDescent="0.3">
      <c r="G72" s="174"/>
    </row>
  </sheetData>
  <sheetProtection algorithmName="SHA-512" hashValue="aoh8R8HXAGdgjoUmnVhGKFwoWpH8FOCHeQPARhz1uBFmhEa4go0Jw2BekS8MVcfMGkNM1kQ7nQOWpVTG6rr6/w==" saltValue="O1q1peVN4jYAzbKOaKN5IA==" spinCount="100000" sheet="1" objects="1" scenarios="1" selectLockedCells="1"/>
  <mergeCells count="78">
    <mergeCell ref="A3:B3"/>
    <mergeCell ref="C3:D3"/>
    <mergeCell ref="E3:F3"/>
    <mergeCell ref="A4:B4"/>
    <mergeCell ref="C4:D4"/>
    <mergeCell ref="E4:F4"/>
    <mergeCell ref="A8:B8"/>
    <mergeCell ref="A9:B9"/>
    <mergeCell ref="A5:B5"/>
    <mergeCell ref="C5:D5"/>
    <mergeCell ref="E5:F5"/>
    <mergeCell ref="A6:B6"/>
    <mergeCell ref="C6:D6"/>
    <mergeCell ref="E6:F6"/>
    <mergeCell ref="A53:F53"/>
    <mergeCell ref="A54:B56"/>
    <mergeCell ref="C54:F71"/>
    <mergeCell ref="H15:K15"/>
    <mergeCell ref="L15:O15"/>
    <mergeCell ref="H16:K16"/>
    <mergeCell ref="L16:O16"/>
    <mergeCell ref="C14:F31"/>
    <mergeCell ref="A33:F33"/>
    <mergeCell ref="C34:F51"/>
    <mergeCell ref="A14:B16"/>
    <mergeCell ref="A34:B36"/>
    <mergeCell ref="L43:N43"/>
    <mergeCell ref="L44:N44"/>
    <mergeCell ref="O40:S44"/>
    <mergeCell ref="H46:J46"/>
    <mergeCell ref="L46:N46"/>
    <mergeCell ref="O46:S50"/>
    <mergeCell ref="H47:J47"/>
    <mergeCell ref="L47:N47"/>
    <mergeCell ref="H49:J49"/>
    <mergeCell ref="L49:N49"/>
    <mergeCell ref="H50:J50"/>
    <mergeCell ref="L50:N50"/>
    <mergeCell ref="H41:J41"/>
    <mergeCell ref="H44:J44"/>
    <mergeCell ref="H43:J43"/>
    <mergeCell ref="H40:J40"/>
    <mergeCell ref="L40:N40"/>
    <mergeCell ref="L41:N41"/>
    <mergeCell ref="H52:J52"/>
    <mergeCell ref="L52:N52"/>
    <mergeCell ref="O52:S56"/>
    <mergeCell ref="H53:J53"/>
    <mergeCell ref="L53:N53"/>
    <mergeCell ref="H55:J55"/>
    <mergeCell ref="L55:N55"/>
    <mergeCell ref="H56:J56"/>
    <mergeCell ref="L56:N56"/>
    <mergeCell ref="H58:J58"/>
    <mergeCell ref="L58:N58"/>
    <mergeCell ref="O58:S62"/>
    <mergeCell ref="H59:J59"/>
    <mergeCell ref="L59:N59"/>
    <mergeCell ref="H61:J61"/>
    <mergeCell ref="L61:N61"/>
    <mergeCell ref="H62:J62"/>
    <mergeCell ref="L62:N62"/>
    <mergeCell ref="A1:S1"/>
    <mergeCell ref="E9:F9"/>
    <mergeCell ref="H38:S38"/>
    <mergeCell ref="E2:F2"/>
    <mergeCell ref="H13:S14"/>
    <mergeCell ref="H18:K18"/>
    <mergeCell ref="H19:K26"/>
    <mergeCell ref="M18:S35"/>
    <mergeCell ref="P15:S15"/>
    <mergeCell ref="P16:S16"/>
    <mergeCell ref="A13:F13"/>
    <mergeCell ref="A10:B10"/>
    <mergeCell ref="A11:B11"/>
    <mergeCell ref="E8:F8"/>
    <mergeCell ref="E10:F10"/>
    <mergeCell ref="E11:F11"/>
  </mergeCells>
  <dataValidations count="6">
    <dataValidation type="list" allowBlank="1" showInputMessage="1" showErrorMessage="1" sqref="B2" xr:uid="{105C5183-257F-4DF7-A71D-802577D2737B}">
      <formula1>"Choose one:,Adis Coulibaly, Brittany Kronmiller, Dwayne Marshall, Frank Chiki, Graham Collins, Meg Richert, Mitch Fortune, Tracie Mansfield"</formula1>
    </dataValidation>
    <dataValidation type="list" allowBlank="1" showInputMessage="1" showErrorMessage="1" sqref="D9" xr:uid="{4F9BF9DF-EFBB-40A1-8011-763E2EA306E0}">
      <formula1>"Yes, No, Not Applicable"</formula1>
    </dataValidation>
    <dataValidation type="list" allowBlank="1" showInputMessage="1" showErrorMessage="1" sqref="A54:B54 A34:B34 A14:B16" xr:uid="{D6528F69-7975-4BF7-B39A-744F6474B0C7}">
      <formula1>"Choose One:,Not Applicable,Budget and descriptions are complete.,Revisions needed."</formula1>
    </dataValidation>
    <dataValidation type="list" allowBlank="1" showInputMessage="1" showErrorMessage="1" sqref="H44 H50 H56 H62" xr:uid="{7D6666F4-22E7-4BC7-B3A2-8C08C3456F62}">
      <formula1>"Choose one:,Sent E-mail, Left Voice Mail, Application Revision in Process, Revision Complete"</formula1>
    </dataValidation>
    <dataValidation type="list" allowBlank="1" showInputMessage="1" showErrorMessage="1" sqref="A9:B9 E9:F9" xr:uid="{B9EC510D-C3F6-410C-A1D7-23F3C1663D92}">
      <formula1>"Choose One:,Yes, No, Not Applicable"</formula1>
    </dataValidation>
    <dataValidation type="list" allowBlank="1" showInputMessage="1" showErrorMessage="1" sqref="H16:S16" xr:uid="{8AE3ADCF-B8C6-4414-8597-A71A816EB811}">
      <formula1>"Choose One:,Yes, No, Not Applicable, 0 Participating"</formula1>
    </dataValidation>
  </dataValidations>
  <pageMargins left="0.7" right="0.7" top="0.75" bottom="0.75" header="0.3" footer="0.3"/>
  <pageSetup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7434D-81A4-4FD8-8C23-65E18B1B9311}">
  <sheetPr codeName="Sheet8">
    <tabColor rgb="FF92D050"/>
    <pageSetUpPr fitToPage="1"/>
  </sheetPr>
  <dimension ref="A1:M47"/>
  <sheetViews>
    <sheetView topLeftCell="A31" zoomScaleNormal="100" workbookViewId="0">
      <selection activeCell="D46" sqref="D46"/>
    </sheetView>
  </sheetViews>
  <sheetFormatPr defaultColWidth="9.109375" defaultRowHeight="14.4" x14ac:dyDescent="0.3"/>
  <cols>
    <col min="1" max="1" width="43.109375" style="14" customWidth="1"/>
    <col min="2" max="4" width="16.6640625" style="14" customWidth="1"/>
    <col min="5" max="5" width="4.44140625" style="14" customWidth="1"/>
    <col min="6" max="16384" width="9.109375" style="14"/>
  </cols>
  <sheetData>
    <row r="1" spans="1:13" x14ac:dyDescent="0.3">
      <c r="A1" s="662" t="s">
        <v>148</v>
      </c>
      <c r="B1" s="663"/>
      <c r="C1" s="663"/>
      <c r="D1" s="664"/>
    </row>
    <row r="2" spans="1:13" x14ac:dyDescent="0.3">
      <c r="A2" s="665" t="s">
        <v>1996</v>
      </c>
      <c r="B2" s="666"/>
      <c r="C2" s="666"/>
      <c r="D2" s="667"/>
    </row>
    <row r="3" spans="1:13" x14ac:dyDescent="0.3">
      <c r="A3" s="665" t="s">
        <v>1981</v>
      </c>
      <c r="B3" s="666"/>
      <c r="C3" s="666"/>
      <c r="D3" s="667"/>
    </row>
    <row r="4" spans="1:13" x14ac:dyDescent="0.3">
      <c r="A4" s="145" t="s">
        <v>149</v>
      </c>
      <c r="B4" s="146"/>
      <c r="C4" s="147" t="s">
        <v>2033</v>
      </c>
      <c r="D4" s="148"/>
    </row>
    <row r="5" spans="1:13" x14ac:dyDescent="0.3">
      <c r="A5" s="107" t="s">
        <v>150</v>
      </c>
      <c r="B5" s="668">
        <f>Overview!C4</f>
        <v>0</v>
      </c>
      <c r="C5" s="668"/>
      <c r="D5" s="108"/>
    </row>
    <row r="6" spans="1:13" x14ac:dyDescent="0.3">
      <c r="A6" s="109" t="s">
        <v>151</v>
      </c>
      <c r="B6" s="669" t="s">
        <v>152</v>
      </c>
      <c r="C6" s="669"/>
      <c r="D6" s="670"/>
    </row>
    <row r="7" spans="1:13" x14ac:dyDescent="0.3">
      <c r="A7" s="109" t="s">
        <v>153</v>
      </c>
      <c r="B7" s="650" t="s">
        <v>154</v>
      </c>
      <c r="C7" s="650"/>
      <c r="D7" s="651"/>
    </row>
    <row r="8" spans="1:13" x14ac:dyDescent="0.3">
      <c r="A8" s="265" t="s">
        <v>2031</v>
      </c>
      <c r="B8" s="652" t="s">
        <v>1995</v>
      </c>
      <c r="C8" s="652"/>
      <c r="D8" s="653"/>
    </row>
    <row r="9" spans="1:13" ht="15" thickBot="1" x14ac:dyDescent="0.35">
      <c r="A9" s="654" t="s">
        <v>155</v>
      </c>
      <c r="B9" s="655"/>
      <c r="C9" s="655"/>
      <c r="D9" s="656"/>
    </row>
    <row r="10" spans="1:13" ht="27.6" x14ac:dyDescent="0.3">
      <c r="A10" s="657" t="s">
        <v>417</v>
      </c>
      <c r="B10" s="659" t="s">
        <v>156</v>
      </c>
      <c r="C10" s="156" t="s">
        <v>157</v>
      </c>
      <c r="D10" s="660" t="s">
        <v>158</v>
      </c>
      <c r="F10" s="409" t="s">
        <v>2013</v>
      </c>
      <c r="G10" s="410"/>
      <c r="H10" s="410"/>
      <c r="I10" s="410"/>
      <c r="J10" s="410"/>
      <c r="K10" s="410"/>
      <c r="L10" s="410"/>
      <c r="M10" s="411"/>
    </row>
    <row r="11" spans="1:13" ht="15" thickBot="1" x14ac:dyDescent="0.35">
      <c r="A11" s="658"/>
      <c r="B11" s="659"/>
      <c r="C11" s="162" t="s">
        <v>159</v>
      </c>
      <c r="D11" s="661"/>
      <c r="F11" s="412"/>
      <c r="G11" s="413"/>
      <c r="H11" s="413"/>
      <c r="I11" s="413"/>
      <c r="J11" s="413"/>
      <c r="K11" s="413"/>
      <c r="L11" s="413"/>
      <c r="M11" s="414"/>
    </row>
    <row r="12" spans="1:13" ht="27.6" x14ac:dyDescent="0.3">
      <c r="A12" s="110" t="s">
        <v>160</v>
      </c>
      <c r="B12" s="111">
        <f>'Main Budget'!G27</f>
        <v>0</v>
      </c>
      <c r="C12" s="154"/>
      <c r="D12" s="157"/>
      <c r="F12" s="644" t="s">
        <v>2014</v>
      </c>
      <c r="G12" s="645"/>
      <c r="H12" s="645"/>
      <c r="I12" s="645"/>
      <c r="J12" s="645"/>
      <c r="K12" s="645"/>
      <c r="L12" s="645"/>
      <c r="M12" s="646"/>
    </row>
    <row r="13" spans="1:13" x14ac:dyDescent="0.3">
      <c r="A13" s="110" t="s">
        <v>161</v>
      </c>
      <c r="B13" s="112">
        <f>'Main Budget'!G28</f>
        <v>0</v>
      </c>
      <c r="C13" s="154"/>
      <c r="D13" s="157"/>
      <c r="F13" s="644"/>
      <c r="G13" s="645"/>
      <c r="H13" s="645"/>
      <c r="I13" s="645"/>
      <c r="J13" s="645"/>
      <c r="K13" s="645"/>
      <c r="L13" s="645"/>
      <c r="M13" s="646"/>
    </row>
    <row r="14" spans="1:13" x14ac:dyDescent="0.3">
      <c r="A14" s="110" t="s">
        <v>162</v>
      </c>
      <c r="B14" s="111">
        <f>'Main Budget'!G29</f>
        <v>0</v>
      </c>
      <c r="C14" s="154"/>
      <c r="D14" s="157"/>
      <c r="F14" s="644"/>
      <c r="G14" s="645"/>
      <c r="H14" s="645"/>
      <c r="I14" s="645"/>
      <c r="J14" s="645"/>
      <c r="K14" s="645"/>
      <c r="L14" s="645"/>
      <c r="M14" s="646"/>
    </row>
    <row r="15" spans="1:13" x14ac:dyDescent="0.3">
      <c r="A15" s="110" t="s">
        <v>163</v>
      </c>
      <c r="B15" s="113">
        <f>'Main Budget'!M23-B19</f>
        <v>0</v>
      </c>
      <c r="C15" s="154"/>
      <c r="D15" s="157"/>
      <c r="F15" s="644"/>
      <c r="G15" s="645"/>
      <c r="H15" s="645"/>
      <c r="I15" s="645"/>
      <c r="J15" s="645"/>
      <c r="K15" s="645"/>
      <c r="L15" s="645"/>
      <c r="M15" s="646"/>
    </row>
    <row r="16" spans="1:13" x14ac:dyDescent="0.3">
      <c r="A16" s="110" t="s">
        <v>164</v>
      </c>
      <c r="B16" s="111">
        <f>'Main Budget'!M22-B20</f>
        <v>0</v>
      </c>
      <c r="C16" s="154"/>
      <c r="D16" s="157"/>
      <c r="F16" s="644"/>
      <c r="G16" s="645"/>
      <c r="H16" s="645"/>
      <c r="I16" s="645"/>
      <c r="J16" s="645"/>
      <c r="K16" s="645"/>
      <c r="L16" s="645"/>
      <c r="M16" s="646"/>
    </row>
    <row r="17" spans="1:13" x14ac:dyDescent="0.3">
      <c r="A17" s="110" t="s">
        <v>2018</v>
      </c>
      <c r="B17" s="245"/>
      <c r="C17" s="155"/>
      <c r="D17" s="157"/>
      <c r="F17" s="644"/>
      <c r="G17" s="645"/>
      <c r="H17" s="645"/>
      <c r="I17" s="645"/>
      <c r="J17" s="645"/>
      <c r="K17" s="645"/>
      <c r="L17" s="645"/>
      <c r="M17" s="646"/>
    </row>
    <row r="18" spans="1:13" x14ac:dyDescent="0.3">
      <c r="A18" s="110" t="s">
        <v>2019</v>
      </c>
      <c r="B18" s="245">
        <f>SUM('Nonpub Activities'!D112-(B19+B20))</f>
        <v>0</v>
      </c>
      <c r="C18" s="155"/>
      <c r="D18" s="157"/>
      <c r="F18" s="644"/>
      <c r="G18" s="645"/>
      <c r="H18" s="645"/>
      <c r="I18" s="645"/>
      <c r="J18" s="645"/>
      <c r="K18" s="645"/>
      <c r="L18" s="645"/>
      <c r="M18" s="646"/>
    </row>
    <row r="19" spans="1:13" x14ac:dyDescent="0.3">
      <c r="A19" s="110" t="s">
        <v>2020</v>
      </c>
      <c r="B19" s="245">
        <f>SUM('Nonpub Activities'!H30:H36)</f>
        <v>0</v>
      </c>
      <c r="C19" s="155"/>
      <c r="D19" s="157"/>
      <c r="F19" s="644"/>
      <c r="G19" s="645"/>
      <c r="H19" s="645"/>
      <c r="I19" s="645"/>
      <c r="J19" s="645"/>
      <c r="K19" s="645"/>
      <c r="L19" s="645"/>
      <c r="M19" s="646"/>
    </row>
    <row r="20" spans="1:13" x14ac:dyDescent="0.3">
      <c r="A20" s="110" t="s">
        <v>2021</v>
      </c>
      <c r="B20" s="245">
        <f>'Nonpub Activities'!H62</f>
        <v>0</v>
      </c>
      <c r="C20" s="155"/>
      <c r="D20" s="157"/>
      <c r="F20" s="644"/>
      <c r="G20" s="645"/>
      <c r="H20" s="645"/>
      <c r="I20" s="645"/>
      <c r="J20" s="645"/>
      <c r="K20" s="645"/>
      <c r="L20" s="645"/>
      <c r="M20" s="646"/>
    </row>
    <row r="21" spans="1:13" x14ac:dyDescent="0.3">
      <c r="A21" s="114" t="s">
        <v>165</v>
      </c>
      <c r="B21" s="115"/>
      <c r="C21" s="115"/>
      <c r="D21" s="115"/>
      <c r="F21" s="644"/>
      <c r="G21" s="645"/>
      <c r="H21" s="645"/>
      <c r="I21" s="645"/>
      <c r="J21" s="645"/>
      <c r="K21" s="645"/>
      <c r="L21" s="645"/>
      <c r="M21" s="646"/>
    </row>
    <row r="22" spans="1:13" x14ac:dyDescent="0.3">
      <c r="A22" s="116" t="s">
        <v>2006</v>
      </c>
      <c r="B22" s="117">
        <f>Overview!E19</f>
        <v>0</v>
      </c>
      <c r="C22" s="155"/>
      <c r="D22" s="157"/>
      <c r="F22" s="644"/>
      <c r="G22" s="645"/>
      <c r="H22" s="645"/>
      <c r="I22" s="645"/>
      <c r="J22" s="645"/>
      <c r="K22" s="645"/>
      <c r="L22" s="645"/>
      <c r="M22" s="646"/>
    </row>
    <row r="23" spans="1:13" x14ac:dyDescent="0.3">
      <c r="A23" s="116" t="s">
        <v>2007</v>
      </c>
      <c r="B23" s="117">
        <f>Overview!E20</f>
        <v>0</v>
      </c>
      <c r="C23" s="155"/>
      <c r="D23" s="157"/>
      <c r="F23" s="644"/>
      <c r="G23" s="645"/>
      <c r="H23" s="645"/>
      <c r="I23" s="645"/>
      <c r="J23" s="645"/>
      <c r="K23" s="645"/>
      <c r="L23" s="645"/>
      <c r="M23" s="646"/>
    </row>
    <row r="24" spans="1:13" x14ac:dyDescent="0.3">
      <c r="A24" s="116" t="s">
        <v>2008</v>
      </c>
      <c r="B24" s="117">
        <f>Overview!E21</f>
        <v>0</v>
      </c>
      <c r="C24" s="155"/>
      <c r="D24" s="157"/>
      <c r="F24" s="647"/>
      <c r="G24" s="648"/>
      <c r="H24" s="648"/>
      <c r="I24" s="648"/>
      <c r="J24" s="648"/>
      <c r="K24" s="648"/>
      <c r="L24" s="648"/>
      <c r="M24" s="649"/>
    </row>
    <row r="25" spans="1:13" x14ac:dyDescent="0.3">
      <c r="A25" s="116" t="s">
        <v>2009</v>
      </c>
      <c r="B25" s="117">
        <f>Overview!E22</f>
        <v>0</v>
      </c>
      <c r="C25" s="155"/>
      <c r="D25" s="157"/>
    </row>
    <row r="26" spans="1:13" x14ac:dyDescent="0.3">
      <c r="A26" s="116" t="s">
        <v>2010</v>
      </c>
      <c r="B26" s="117">
        <f>Overview!E23</f>
        <v>0</v>
      </c>
      <c r="C26" s="155"/>
      <c r="D26" s="157"/>
    </row>
    <row r="27" spans="1:13" ht="15" thickBot="1" x14ac:dyDescent="0.35">
      <c r="A27" s="248" t="s">
        <v>2011</v>
      </c>
      <c r="B27" s="249">
        <f>Overview!E24</f>
        <v>0</v>
      </c>
      <c r="C27" s="250"/>
      <c r="D27" s="251"/>
    </row>
    <row r="28" spans="1:13" ht="14.4" customHeight="1" x14ac:dyDescent="0.3">
      <c r="A28" s="246" t="s">
        <v>2022</v>
      </c>
      <c r="B28" s="247">
        <f>SUM(B12:B27)</f>
        <v>0</v>
      </c>
      <c r="C28" s="259"/>
      <c r="D28" s="260"/>
    </row>
    <row r="29" spans="1:13" ht="14.4" customHeight="1" thickBot="1" x14ac:dyDescent="0.35">
      <c r="A29" s="248" t="s">
        <v>2024</v>
      </c>
      <c r="B29" s="249">
        <f>Overview!G11</f>
        <v>0</v>
      </c>
      <c r="C29" s="261"/>
      <c r="D29" s="262"/>
    </row>
    <row r="30" spans="1:13" ht="15" thickBot="1" x14ac:dyDescent="0.35">
      <c r="A30" s="254" t="s">
        <v>2023</v>
      </c>
      <c r="B30" s="255">
        <f>B28-B29</f>
        <v>0</v>
      </c>
      <c r="C30" s="256">
        <f>SUM(C12:C27)</f>
        <v>0</v>
      </c>
      <c r="D30" s="257">
        <f>SUM(D12:D27)</f>
        <v>0</v>
      </c>
    </row>
    <row r="31" spans="1:13" ht="45.6" customHeight="1" x14ac:dyDescent="0.3">
      <c r="A31" s="671"/>
      <c r="B31" s="672"/>
      <c r="C31" s="252" t="s">
        <v>399</v>
      </c>
      <c r="D31" s="253"/>
    </row>
    <row r="32" spans="1:13" ht="61.2" customHeight="1" x14ac:dyDescent="0.3">
      <c r="A32" s="676" t="s">
        <v>166</v>
      </c>
      <c r="B32" s="676"/>
      <c r="C32" s="676"/>
      <c r="D32" s="676"/>
    </row>
    <row r="33" spans="1:4" ht="21.6" customHeight="1" x14ac:dyDescent="0.3">
      <c r="A33" s="118" t="s">
        <v>167</v>
      </c>
      <c r="B33" s="119" t="s">
        <v>168</v>
      </c>
      <c r="C33" s="677"/>
      <c r="D33" s="678"/>
    </row>
    <row r="34" spans="1:4" x14ac:dyDescent="0.3">
      <c r="A34" s="120" t="s">
        <v>169</v>
      </c>
      <c r="B34" s="679"/>
      <c r="C34" s="679"/>
      <c r="D34" s="680"/>
    </row>
    <row r="35" spans="1:4" x14ac:dyDescent="0.3">
      <c r="A35" s="120" t="s">
        <v>170</v>
      </c>
      <c r="B35" s="679"/>
      <c r="C35" s="679"/>
      <c r="D35" s="680"/>
    </row>
    <row r="36" spans="1:4" x14ac:dyDescent="0.3">
      <c r="A36" s="120" t="s">
        <v>171</v>
      </c>
      <c r="B36" s="679"/>
      <c r="C36" s="679"/>
      <c r="D36" s="680"/>
    </row>
    <row r="37" spans="1:4" x14ac:dyDescent="0.3">
      <c r="A37" s="121"/>
      <c r="B37" s="122"/>
      <c r="C37" s="122"/>
      <c r="D37" s="123"/>
    </row>
    <row r="38" spans="1:4" ht="4.2" customHeight="1" x14ac:dyDescent="0.3">
      <c r="A38" s="685"/>
      <c r="B38" s="685"/>
      <c r="C38" s="685"/>
      <c r="D38" s="685"/>
    </row>
    <row r="39" spans="1:4" ht="18.600000000000001" customHeight="1" x14ac:dyDescent="0.3">
      <c r="A39" s="124" t="s">
        <v>172</v>
      </c>
      <c r="B39" s="125" t="s">
        <v>168</v>
      </c>
      <c r="C39" s="681"/>
      <c r="D39" s="682"/>
    </row>
    <row r="40" spans="1:4" x14ac:dyDescent="0.3">
      <c r="A40" s="107" t="s">
        <v>169</v>
      </c>
      <c r="B40" s="683"/>
      <c r="C40" s="683"/>
      <c r="D40" s="684"/>
    </row>
    <row r="41" spans="1:4" x14ac:dyDescent="0.3">
      <c r="A41" s="107" t="s">
        <v>170</v>
      </c>
      <c r="B41" s="683"/>
      <c r="C41" s="683"/>
      <c r="D41" s="684"/>
    </row>
    <row r="42" spans="1:4" x14ac:dyDescent="0.3">
      <c r="A42" s="107" t="s">
        <v>171</v>
      </c>
      <c r="B42" s="683"/>
      <c r="C42" s="683"/>
      <c r="D42" s="684"/>
    </row>
    <row r="43" spans="1:4" x14ac:dyDescent="0.3">
      <c r="A43" s="126"/>
      <c r="B43" s="127"/>
      <c r="C43" s="127"/>
      <c r="D43" s="128"/>
    </row>
    <row r="44" spans="1:4" ht="4.2" customHeight="1" x14ac:dyDescent="0.3">
      <c r="A44" s="686"/>
      <c r="B44" s="686"/>
      <c r="C44" s="686"/>
      <c r="D44" s="686"/>
    </row>
    <row r="45" spans="1:4" ht="12.6" customHeight="1" x14ac:dyDescent="0.3">
      <c r="A45" s="673" t="s">
        <v>173</v>
      </c>
      <c r="B45" s="687" t="s">
        <v>174</v>
      </c>
      <c r="C45" s="674" t="s">
        <v>175</v>
      </c>
      <c r="D45" s="129" t="s">
        <v>176</v>
      </c>
    </row>
    <row r="46" spans="1:4" ht="18" customHeight="1" x14ac:dyDescent="0.3">
      <c r="A46" s="673"/>
      <c r="B46" s="687"/>
      <c r="C46" s="675"/>
      <c r="D46" s="382" t="s">
        <v>177</v>
      </c>
    </row>
    <row r="47" spans="1:4" x14ac:dyDescent="0.3">
      <c r="A47" s="130"/>
      <c r="B47" s="130"/>
      <c r="C47" s="130"/>
      <c r="D47" s="130"/>
    </row>
  </sheetData>
  <sheetProtection algorithmName="SHA-512" hashValue="taAgB2ufovg2Lq/MW7lhTSWVd4rlc/v2OajDgZzVQFPfOov7mcrZeBBX3H/xAIkBOZ24aGla2j5J2sCJx2+l0Q==" saltValue="Yc33OtAZqE0CMjNpQp313A==" spinCount="100000" sheet="1" objects="1" scenarios="1" selectLockedCells="1"/>
  <mergeCells count="28">
    <mergeCell ref="A31:B31"/>
    <mergeCell ref="A45:A46"/>
    <mergeCell ref="C45:C46"/>
    <mergeCell ref="A32:D32"/>
    <mergeCell ref="C33:D33"/>
    <mergeCell ref="B34:D34"/>
    <mergeCell ref="B35:D35"/>
    <mergeCell ref="B36:D36"/>
    <mergeCell ref="C39:D39"/>
    <mergeCell ref="B40:D40"/>
    <mergeCell ref="B41:D41"/>
    <mergeCell ref="B42:D42"/>
    <mergeCell ref="A38:D38"/>
    <mergeCell ref="A44:D44"/>
    <mergeCell ref="B45:B46"/>
    <mergeCell ref="A1:D1"/>
    <mergeCell ref="A2:D2"/>
    <mergeCell ref="A3:D3"/>
    <mergeCell ref="B5:C5"/>
    <mergeCell ref="B6:D6"/>
    <mergeCell ref="F12:M24"/>
    <mergeCell ref="B7:D7"/>
    <mergeCell ref="B8:D8"/>
    <mergeCell ref="A9:D9"/>
    <mergeCell ref="A10:A11"/>
    <mergeCell ref="B10:B11"/>
    <mergeCell ref="D10:D11"/>
    <mergeCell ref="F10:M11"/>
  </mergeCells>
  <hyperlinks>
    <hyperlink ref="D46" r:id="rId1" xr:uid="{EF3A33EC-7285-4133-BEBF-84BB16D81702}"/>
  </hyperlinks>
  <pageMargins left="0.5" right="0.5" top="0.5" bottom="0.5" header="0.3" footer="0.3"/>
  <pageSetup scale="93" fitToWidth="2"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1" id="{FCDCCE85-E82F-43FC-8944-334EC6817ED5}">
            <xm:f>$B$15&gt;Overview!$I$15</xm:f>
            <x14:dxf>
              <font>
                <b/>
                <i val="0"/>
                <color rgb="FFFFFF00"/>
              </font>
              <fill>
                <patternFill>
                  <bgColor rgb="FFFF0000"/>
                </patternFill>
              </fill>
            </x14:dxf>
          </x14:cfRule>
          <xm:sqref>B15</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827A8-5620-44AC-8B3E-1747CBC3ACC6}">
  <sheetPr codeName="Sheet9">
    <tabColor rgb="FFCC6600"/>
  </sheetPr>
  <dimension ref="A1:V53"/>
  <sheetViews>
    <sheetView showGridLines="0" zoomScaleNormal="100" workbookViewId="0">
      <selection activeCell="E19" sqref="E19"/>
    </sheetView>
  </sheetViews>
  <sheetFormatPr defaultColWidth="8.88671875" defaultRowHeight="14.4" x14ac:dyDescent="0.3"/>
  <cols>
    <col min="1" max="1" width="8.88671875" style="14"/>
    <col min="2" max="2" width="11.44140625" style="14" customWidth="1"/>
    <col min="3" max="4" width="8.88671875" style="14"/>
    <col min="5" max="5" width="13.77734375" style="14" customWidth="1"/>
    <col min="6" max="13" width="8.88671875" style="14"/>
    <col min="14" max="14" width="4.6640625" style="14" customWidth="1"/>
    <col min="15" max="16384" width="8.88671875" style="14"/>
  </cols>
  <sheetData>
    <row r="1" spans="1:22" ht="29.4" customHeight="1" thickBot="1" x14ac:dyDescent="0.35">
      <c r="A1" s="704" t="s">
        <v>2062</v>
      </c>
      <c r="B1" s="704"/>
      <c r="C1" s="704"/>
      <c r="D1" s="704"/>
      <c r="E1" s="704"/>
      <c r="F1" s="704"/>
      <c r="G1" s="704"/>
      <c r="H1" s="704"/>
      <c r="I1" s="704"/>
      <c r="J1" s="704"/>
      <c r="K1" s="704"/>
      <c r="L1" s="704"/>
      <c r="M1" s="704"/>
      <c r="O1" s="424" t="s">
        <v>120</v>
      </c>
      <c r="P1" s="425"/>
      <c r="Q1" s="425"/>
      <c r="R1" s="425"/>
      <c r="S1" s="425"/>
      <c r="T1" s="425"/>
      <c r="U1" s="425"/>
      <c r="V1" s="426"/>
    </row>
    <row r="2" spans="1:22" x14ac:dyDescent="0.3">
      <c r="A2" s="435" t="s">
        <v>113</v>
      </c>
      <c r="B2" s="435"/>
      <c r="C2" s="435"/>
      <c r="D2" s="435"/>
      <c r="E2" s="435"/>
      <c r="F2" s="435"/>
      <c r="G2" s="435"/>
      <c r="H2" s="435"/>
      <c r="I2" s="435"/>
      <c r="J2" s="435"/>
      <c r="K2" s="435"/>
      <c r="L2" s="435"/>
      <c r="M2" s="435"/>
      <c r="O2" s="695" t="s">
        <v>2005</v>
      </c>
      <c r="P2" s="696"/>
      <c r="Q2" s="696"/>
      <c r="R2" s="696"/>
      <c r="S2" s="696"/>
      <c r="T2" s="696"/>
      <c r="U2" s="696"/>
      <c r="V2" s="697"/>
    </row>
    <row r="3" spans="1:22" s="38" customFormat="1" ht="6.6" customHeight="1" x14ac:dyDescent="0.3">
      <c r="A3" s="35"/>
      <c r="B3" s="36"/>
      <c r="C3" s="36"/>
      <c r="D3" s="36"/>
      <c r="E3" s="36"/>
      <c r="F3" s="36"/>
      <c r="G3" s="36"/>
      <c r="H3" s="36"/>
      <c r="I3" s="36"/>
      <c r="J3" s="36"/>
      <c r="K3" s="36"/>
      <c r="L3" s="36"/>
      <c r="M3" s="37"/>
      <c r="O3" s="698"/>
      <c r="P3" s="699"/>
      <c r="Q3" s="699"/>
      <c r="R3" s="699"/>
      <c r="S3" s="699"/>
      <c r="T3" s="699"/>
      <c r="U3" s="699"/>
      <c r="V3" s="700"/>
    </row>
    <row r="4" spans="1:22" x14ac:dyDescent="0.3">
      <c r="A4" s="448" t="s">
        <v>78</v>
      </c>
      <c r="B4" s="449"/>
      <c r="C4" s="705">
        <f>Overview!C4</f>
        <v>0</v>
      </c>
      <c r="D4" s="705"/>
      <c r="E4" s="705"/>
      <c r="F4" s="705"/>
      <c r="G4" s="705"/>
      <c r="H4" s="705"/>
      <c r="I4" s="705"/>
      <c r="J4" s="705"/>
      <c r="K4" s="705"/>
      <c r="L4" s="705"/>
      <c r="M4" s="706"/>
      <c r="O4" s="698"/>
      <c r="P4" s="699"/>
      <c r="Q4" s="699"/>
      <c r="R4" s="699"/>
      <c r="S4" s="699"/>
      <c r="T4" s="699"/>
      <c r="U4" s="699"/>
      <c r="V4" s="700"/>
    </row>
    <row r="5" spans="1:22" s="38" customFormat="1" ht="15.6" customHeight="1" x14ac:dyDescent="0.3">
      <c r="A5" s="35"/>
      <c r="B5" s="36"/>
      <c r="C5" s="707" t="s">
        <v>1979</v>
      </c>
      <c r="D5" s="707"/>
      <c r="E5" s="707"/>
      <c r="F5" s="707"/>
      <c r="G5" s="707"/>
      <c r="H5" s="707"/>
      <c r="I5" s="707"/>
      <c r="J5" s="707"/>
      <c r="K5" s="707"/>
      <c r="L5" s="707"/>
      <c r="M5" s="708"/>
      <c r="O5" s="701"/>
      <c r="P5" s="702"/>
      <c r="Q5" s="702"/>
      <c r="R5" s="702"/>
      <c r="S5" s="702"/>
      <c r="T5" s="702"/>
      <c r="U5" s="702"/>
      <c r="V5" s="703"/>
    </row>
    <row r="6" spans="1:22" s="38" customFormat="1" ht="15.6" customHeight="1" thickBot="1" x14ac:dyDescent="0.35">
      <c r="A6" s="393" t="s">
        <v>96</v>
      </c>
      <c r="B6" s="393"/>
      <c r="C6" s="691">
        <f>Overview!C6</f>
        <v>0</v>
      </c>
      <c r="D6" s="691"/>
      <c r="E6" s="691"/>
      <c r="F6" s="150" t="s">
        <v>98</v>
      </c>
      <c r="G6" s="692">
        <f>Overview!G6</f>
        <v>0</v>
      </c>
      <c r="H6" s="693"/>
      <c r="I6" s="693"/>
      <c r="J6" s="151" t="s">
        <v>119</v>
      </c>
      <c r="K6" s="691">
        <f>Overview!K6</f>
        <v>0</v>
      </c>
      <c r="L6" s="691"/>
      <c r="M6" s="694"/>
      <c r="O6" s="14"/>
      <c r="P6" s="14"/>
      <c r="Q6" s="14"/>
      <c r="R6" s="14"/>
      <c r="S6" s="14"/>
      <c r="T6" s="14"/>
      <c r="U6" s="14"/>
      <c r="V6" s="14"/>
    </row>
    <row r="7" spans="1:22" s="38" customFormat="1" ht="15.6" customHeight="1" thickBot="1" x14ac:dyDescent="0.35">
      <c r="A7" s="393" t="s">
        <v>97</v>
      </c>
      <c r="B7" s="393"/>
      <c r="C7" s="691">
        <f>Overview!C7</f>
        <v>0</v>
      </c>
      <c r="D7" s="691"/>
      <c r="E7" s="691"/>
      <c r="F7" s="150" t="s">
        <v>98</v>
      </c>
      <c r="G7" s="692">
        <f>Overview!G7</f>
        <v>0</v>
      </c>
      <c r="H7" s="693"/>
      <c r="I7" s="693"/>
      <c r="J7" s="151" t="s">
        <v>119</v>
      </c>
      <c r="K7" s="691">
        <f>Overview!K7</f>
        <v>0</v>
      </c>
      <c r="L7" s="691"/>
      <c r="M7" s="694"/>
      <c r="O7" s="409" t="s">
        <v>1983</v>
      </c>
      <c r="P7" s="410"/>
      <c r="Q7" s="410"/>
      <c r="R7" s="410"/>
      <c r="S7" s="410"/>
      <c r="T7" s="410"/>
      <c r="U7" s="410"/>
      <c r="V7" s="411"/>
    </row>
    <row r="8" spans="1:22" s="38" customFormat="1" ht="15.6" customHeight="1" thickBot="1" x14ac:dyDescent="0.35">
      <c r="A8" s="393" t="s">
        <v>118</v>
      </c>
      <c r="B8" s="393"/>
      <c r="C8" s="691">
        <f>Overview!C8</f>
        <v>0</v>
      </c>
      <c r="D8" s="691"/>
      <c r="E8" s="691"/>
      <c r="F8" s="150" t="s">
        <v>98</v>
      </c>
      <c r="G8" s="692">
        <f>Overview!G8</f>
        <v>0</v>
      </c>
      <c r="H8" s="693"/>
      <c r="I8" s="693"/>
      <c r="J8" s="151" t="s">
        <v>119</v>
      </c>
      <c r="K8" s="691">
        <f>Overview!K8</f>
        <v>0</v>
      </c>
      <c r="L8" s="691"/>
      <c r="M8" s="694"/>
      <c r="O8" s="412"/>
      <c r="P8" s="413"/>
      <c r="Q8" s="413"/>
      <c r="R8" s="413"/>
      <c r="S8" s="413"/>
      <c r="T8" s="413"/>
      <c r="U8" s="413"/>
      <c r="V8" s="414"/>
    </row>
    <row r="9" spans="1:22" ht="16.2" customHeight="1" thickBot="1" x14ac:dyDescent="0.35">
      <c r="A9" s="436" t="s">
        <v>30</v>
      </c>
      <c r="B9" s="437"/>
      <c r="C9" s="437"/>
      <c r="D9" s="437"/>
      <c r="E9" s="438"/>
      <c r="F9" s="438"/>
      <c r="G9" s="439" t="str">
        <f>Overview!G9</f>
        <v/>
      </c>
      <c r="H9" s="440"/>
      <c r="I9" s="440"/>
      <c r="J9" s="440"/>
      <c r="K9" s="440"/>
      <c r="L9" s="440"/>
      <c r="M9" s="441"/>
      <c r="O9" s="415" t="s">
        <v>2067</v>
      </c>
      <c r="P9" s="416"/>
      <c r="Q9" s="416"/>
      <c r="R9" s="416"/>
      <c r="S9" s="416"/>
      <c r="T9" s="416"/>
      <c r="U9" s="416"/>
      <c r="V9" s="417"/>
    </row>
    <row r="10" spans="1:22" ht="16.2" customHeight="1" thickBot="1" x14ac:dyDescent="0.35">
      <c r="A10" s="398" t="s">
        <v>1999</v>
      </c>
      <c r="B10" s="399"/>
      <c r="C10" s="399"/>
      <c r="D10" s="399"/>
      <c r="E10" s="399"/>
      <c r="F10" s="399"/>
      <c r="G10" s="405">
        <f>SUM(E19:E24)</f>
        <v>0</v>
      </c>
      <c r="H10" s="392"/>
      <c r="I10" s="391"/>
      <c r="J10" s="391"/>
      <c r="K10" s="391"/>
      <c r="L10" s="391"/>
      <c r="M10" s="392"/>
      <c r="O10" s="415"/>
      <c r="P10" s="416"/>
      <c r="Q10" s="416"/>
      <c r="R10" s="416"/>
      <c r="S10" s="416"/>
      <c r="T10" s="416"/>
      <c r="U10" s="416"/>
      <c r="V10" s="417"/>
    </row>
    <row r="11" spans="1:22" ht="16.2" customHeight="1" thickBot="1" x14ac:dyDescent="0.35">
      <c r="A11" s="176"/>
      <c r="B11" s="177"/>
      <c r="C11" s="177"/>
      <c r="D11" s="177"/>
      <c r="E11" s="177"/>
      <c r="F11" s="177" t="s">
        <v>2000</v>
      </c>
      <c r="G11" s="689">
        <f>IFERROR(Overview!G11,"")</f>
        <v>0</v>
      </c>
      <c r="H11" s="690"/>
      <c r="I11" s="405" t="str">
        <f>IFERROR(ROUND(G13-Overview!G13,2),"")</f>
        <v/>
      </c>
      <c r="J11" s="391"/>
      <c r="K11" s="179"/>
      <c r="L11" s="179"/>
      <c r="M11" s="175" t="s">
        <v>2001</v>
      </c>
      <c r="O11" s="415"/>
      <c r="P11" s="416"/>
      <c r="Q11" s="416"/>
      <c r="R11" s="416"/>
      <c r="S11" s="416"/>
      <c r="T11" s="416"/>
      <c r="U11" s="416"/>
      <c r="V11" s="417"/>
    </row>
    <row r="12" spans="1:22" ht="16.2" customHeight="1" thickBot="1" x14ac:dyDescent="0.35">
      <c r="A12" s="176"/>
      <c r="B12" s="177"/>
      <c r="C12" s="177"/>
      <c r="D12" s="177"/>
      <c r="E12" s="177"/>
      <c r="F12" s="182" t="s">
        <v>2004</v>
      </c>
      <c r="G12" s="400" t="str">
        <f>IFERROR(ROUND(G9-G10+G11,2),"")</f>
        <v/>
      </c>
      <c r="H12" s="401"/>
      <c r="I12" s="405"/>
      <c r="J12" s="391"/>
      <c r="K12" s="391"/>
      <c r="L12" s="391"/>
      <c r="M12" s="392"/>
      <c r="O12" s="415"/>
      <c r="P12" s="416"/>
      <c r="Q12" s="416"/>
      <c r="R12" s="416"/>
      <c r="S12" s="416"/>
      <c r="T12" s="416"/>
      <c r="U12" s="416"/>
      <c r="V12" s="417"/>
    </row>
    <row r="13" spans="1:22" ht="16.2" customHeight="1" thickBot="1" x14ac:dyDescent="0.35">
      <c r="A13" s="398" t="s">
        <v>1988</v>
      </c>
      <c r="B13" s="399"/>
      <c r="C13" s="399"/>
      <c r="D13" s="399"/>
      <c r="E13" s="399"/>
      <c r="F13" s="399"/>
      <c r="G13" s="405" t="str">
        <f>'Amend#1 Equitable Share'!K56</f>
        <v xml:space="preserve"> </v>
      </c>
      <c r="H13" s="392"/>
      <c r="I13" s="391"/>
      <c r="J13" s="391"/>
      <c r="K13" s="391"/>
      <c r="L13" s="391"/>
      <c r="M13" s="392"/>
      <c r="O13" s="415"/>
      <c r="P13" s="416"/>
      <c r="Q13" s="416"/>
      <c r="R13" s="416"/>
      <c r="S13" s="416"/>
      <c r="T13" s="416"/>
      <c r="U13" s="416"/>
      <c r="V13" s="417"/>
    </row>
    <row r="14" spans="1:22" ht="16.2" customHeight="1" thickBot="1" x14ac:dyDescent="0.35">
      <c r="A14" s="421" t="s">
        <v>68</v>
      </c>
      <c r="B14" s="399"/>
      <c r="C14" s="399"/>
      <c r="D14" s="399"/>
      <c r="E14" s="399"/>
      <c r="F14" s="399"/>
      <c r="G14" s="403" t="str">
        <f>IFERROR(ROUND(G12-G13,2),"")</f>
        <v/>
      </c>
      <c r="H14" s="404"/>
      <c r="I14" s="403"/>
      <c r="J14" s="391"/>
      <c r="K14" s="391"/>
      <c r="L14" s="391"/>
      <c r="M14" s="392"/>
      <c r="O14" s="415"/>
      <c r="P14" s="416"/>
      <c r="Q14" s="416"/>
      <c r="R14" s="416"/>
      <c r="S14" s="416"/>
      <c r="T14" s="416"/>
      <c r="U14" s="416"/>
      <c r="V14" s="417"/>
    </row>
    <row r="15" spans="1:22" ht="19.2" customHeight="1" thickBot="1" x14ac:dyDescent="0.35">
      <c r="A15" s="421" t="s">
        <v>2002</v>
      </c>
      <c r="B15" s="399"/>
      <c r="C15" s="399"/>
      <c r="D15" s="399"/>
      <c r="E15" s="399"/>
      <c r="F15" s="399"/>
      <c r="G15" s="406">
        <f>'Amend#1 Main Budget'!M23</f>
        <v>0</v>
      </c>
      <c r="H15" s="407"/>
      <c r="I15" s="403" t="str">
        <f>IFERROR(ROUND((G12)*0.03,2),"")</f>
        <v/>
      </c>
      <c r="J15" s="404"/>
      <c r="K15" s="149" t="s">
        <v>401</v>
      </c>
      <c r="L15" s="25"/>
      <c r="M15" s="26"/>
      <c r="O15" s="415"/>
      <c r="P15" s="416"/>
      <c r="Q15" s="416"/>
      <c r="R15" s="416"/>
      <c r="S15" s="416"/>
      <c r="T15" s="416"/>
      <c r="U15" s="416"/>
      <c r="V15" s="417"/>
    </row>
    <row r="16" spans="1:22" ht="16.2" customHeight="1" thickBot="1" x14ac:dyDescent="0.35">
      <c r="A16" s="15"/>
      <c r="B16" s="688" t="str">
        <f>IFERROR('Amend#1 Main Budget'!H27," ")</f>
        <v/>
      </c>
      <c r="C16" s="688"/>
      <c r="D16" s="688"/>
      <c r="E16" s="16"/>
      <c r="F16" s="688" t="str">
        <f>IFERROR('Amend#1 Main Budget'!H28," ")</f>
        <v/>
      </c>
      <c r="G16" s="688"/>
      <c r="H16" s="688"/>
      <c r="I16" s="16"/>
      <c r="J16" s="688" t="str">
        <f>IFERROR('Amend#1 Main Budget'!H29,"")</f>
        <v/>
      </c>
      <c r="K16" s="688"/>
      <c r="L16" s="688"/>
      <c r="M16" s="17"/>
      <c r="O16" s="415"/>
      <c r="P16" s="416"/>
      <c r="Q16" s="416"/>
      <c r="R16" s="416"/>
      <c r="S16" s="416"/>
      <c r="T16" s="416"/>
      <c r="U16" s="416"/>
      <c r="V16" s="417"/>
    </row>
    <row r="17" spans="1:22" ht="16.2" customHeight="1" x14ac:dyDescent="0.3">
      <c r="A17" s="15"/>
      <c r="B17" s="408" t="s">
        <v>115</v>
      </c>
      <c r="C17" s="408"/>
      <c r="D17" s="408"/>
      <c r="E17" s="16"/>
      <c r="F17" s="408" t="s">
        <v>116</v>
      </c>
      <c r="G17" s="408"/>
      <c r="H17" s="408"/>
      <c r="I17" s="16"/>
      <c r="J17" s="408" t="s">
        <v>117</v>
      </c>
      <c r="K17" s="408"/>
      <c r="L17" s="408"/>
      <c r="M17" s="17"/>
      <c r="O17" s="415"/>
      <c r="P17" s="416"/>
      <c r="Q17" s="416"/>
      <c r="R17" s="416"/>
      <c r="S17" s="416"/>
      <c r="T17" s="416"/>
      <c r="U17" s="416"/>
      <c r="V17" s="417"/>
    </row>
    <row r="18" spans="1:22" ht="5.4" customHeight="1" x14ac:dyDescent="0.3">
      <c r="A18" s="15"/>
      <c r="B18" s="178"/>
      <c r="C18" s="178"/>
      <c r="D18" s="178"/>
      <c r="E18" s="16"/>
      <c r="F18" s="178"/>
      <c r="G18" s="178"/>
      <c r="H18" s="178"/>
      <c r="I18" s="16"/>
      <c r="J18" s="178"/>
      <c r="K18" s="178"/>
      <c r="L18" s="178"/>
      <c r="M18" s="17"/>
      <c r="O18" s="415"/>
      <c r="P18" s="416"/>
      <c r="Q18" s="416"/>
      <c r="R18" s="416"/>
      <c r="S18" s="416"/>
      <c r="T18" s="416"/>
      <c r="U18" s="416"/>
      <c r="V18" s="417"/>
    </row>
    <row r="19" spans="1:22" ht="16.2" customHeight="1" x14ac:dyDescent="0.3">
      <c r="A19" s="385" t="s">
        <v>1989</v>
      </c>
      <c r="B19" s="386"/>
      <c r="C19" s="386"/>
      <c r="D19" s="386"/>
      <c r="E19" s="152">
        <f>IFERROR(Overview!E19,"")</f>
        <v>0</v>
      </c>
      <c r="F19" s="16"/>
      <c r="G19" s="16"/>
      <c r="H19" s="16"/>
      <c r="I19" s="16"/>
      <c r="J19" s="16"/>
      <c r="K19" s="16"/>
      <c r="L19" s="16"/>
      <c r="M19" s="17"/>
      <c r="O19" s="418"/>
      <c r="P19" s="419"/>
      <c r="Q19" s="419"/>
      <c r="R19" s="419"/>
      <c r="S19" s="419"/>
      <c r="T19" s="419"/>
      <c r="U19" s="419"/>
      <c r="V19" s="420"/>
    </row>
    <row r="20" spans="1:22" ht="16.2" customHeight="1" x14ac:dyDescent="0.3">
      <c r="A20" s="385" t="s">
        <v>1990</v>
      </c>
      <c r="B20" s="386"/>
      <c r="C20" s="386"/>
      <c r="D20" s="386"/>
      <c r="E20" s="152">
        <f>IFERROR(Overview!E20,"")</f>
        <v>0</v>
      </c>
      <c r="F20" s="16"/>
      <c r="G20" s="16"/>
      <c r="H20" s="16"/>
      <c r="I20" s="16"/>
      <c r="J20" s="16"/>
      <c r="K20" s="16"/>
      <c r="L20" s="16"/>
      <c r="M20" s="17"/>
    </row>
    <row r="21" spans="1:22" ht="16.2" customHeight="1" x14ac:dyDescent="0.3">
      <c r="A21" s="385" t="s">
        <v>1991</v>
      </c>
      <c r="B21" s="386"/>
      <c r="C21" s="386"/>
      <c r="D21" s="386"/>
      <c r="E21" s="152">
        <f>IFERROR(Overview!E21,"")</f>
        <v>0</v>
      </c>
      <c r="F21" s="16"/>
      <c r="G21" s="16"/>
      <c r="H21" s="16"/>
      <c r="I21" s="16"/>
      <c r="J21" s="16"/>
      <c r="K21" s="16"/>
      <c r="L21" s="16"/>
      <c r="M21" s="17"/>
    </row>
    <row r="22" spans="1:22" ht="16.2" customHeight="1" x14ac:dyDescent="0.3">
      <c r="A22" s="385" t="s">
        <v>1992</v>
      </c>
      <c r="B22" s="386"/>
      <c r="C22" s="386"/>
      <c r="D22" s="386"/>
      <c r="E22" s="152">
        <f>IFERROR(Overview!E22,"")</f>
        <v>0</v>
      </c>
      <c r="F22" s="16"/>
      <c r="G22" s="16"/>
      <c r="H22" s="16"/>
      <c r="I22" s="16"/>
      <c r="J22" s="16"/>
      <c r="K22" s="16"/>
      <c r="L22" s="16"/>
      <c r="M22" s="17"/>
    </row>
    <row r="23" spans="1:22" ht="16.2" customHeight="1" x14ac:dyDescent="0.3">
      <c r="A23" s="385" t="s">
        <v>1993</v>
      </c>
      <c r="B23" s="386"/>
      <c r="C23" s="386"/>
      <c r="D23" s="386"/>
      <c r="E23" s="152">
        <f>IFERROR(Overview!E23,"")</f>
        <v>0</v>
      </c>
      <c r="F23" s="16"/>
      <c r="G23" s="16"/>
      <c r="H23" s="16"/>
      <c r="I23" s="16"/>
      <c r="J23" s="16"/>
      <c r="K23" s="16"/>
      <c r="L23" s="16"/>
      <c r="M23" s="17"/>
    </row>
    <row r="24" spans="1:22" ht="16.2" customHeight="1" x14ac:dyDescent="0.3">
      <c r="A24" s="385" t="s">
        <v>1994</v>
      </c>
      <c r="B24" s="386"/>
      <c r="C24" s="386"/>
      <c r="D24" s="386"/>
      <c r="E24" s="152">
        <f>IFERROR(Overview!E24,"")</f>
        <v>0</v>
      </c>
      <c r="F24" s="16"/>
      <c r="G24" s="16"/>
      <c r="H24" s="16"/>
      <c r="I24" s="16"/>
      <c r="J24" s="16"/>
      <c r="K24" s="16"/>
      <c r="L24" s="16"/>
      <c r="M24" s="17"/>
    </row>
    <row r="25" spans="1:22" ht="4.8" customHeight="1" x14ac:dyDescent="0.3">
      <c r="A25" s="388"/>
      <c r="B25" s="389"/>
      <c r="C25" s="389"/>
      <c r="D25" s="389"/>
      <c r="E25" s="389"/>
      <c r="F25" s="389"/>
      <c r="G25" s="389"/>
      <c r="H25" s="389"/>
      <c r="I25" s="389"/>
      <c r="J25" s="389"/>
      <c r="K25" s="389"/>
      <c r="L25" s="389"/>
      <c r="M25" s="390"/>
    </row>
    <row r="26" spans="1:22" x14ac:dyDescent="0.3">
      <c r="A26" s="387"/>
      <c r="B26" s="387"/>
      <c r="C26" s="387"/>
      <c r="D26" s="387"/>
      <c r="E26" s="387"/>
      <c r="F26" s="387"/>
      <c r="G26" s="387"/>
      <c r="H26" s="387"/>
      <c r="I26" s="387"/>
      <c r="J26" s="387"/>
      <c r="K26" s="387"/>
      <c r="L26" s="387"/>
      <c r="M26" s="387"/>
    </row>
    <row r="27" spans="1:22" ht="49.2" customHeight="1" x14ac:dyDescent="0.3">
      <c r="A27" s="39"/>
      <c r="B27" s="39"/>
      <c r="C27" s="39"/>
      <c r="D27" s="39"/>
      <c r="E27" s="39"/>
      <c r="F27" s="39"/>
      <c r="G27" s="39"/>
      <c r="H27" s="39"/>
      <c r="I27" s="39"/>
      <c r="J27" s="39"/>
      <c r="K27" s="39"/>
      <c r="L27" s="39"/>
      <c r="M27" s="39"/>
    </row>
    <row r="28" spans="1:22" x14ac:dyDescent="0.3">
      <c r="A28" s="40"/>
      <c r="B28" s="39"/>
      <c r="C28" s="39"/>
      <c r="D28" s="39"/>
      <c r="E28" s="39"/>
      <c r="F28" s="39"/>
      <c r="G28" s="39"/>
      <c r="H28" s="39"/>
      <c r="I28" s="39"/>
      <c r="J28" s="39"/>
      <c r="K28" s="39"/>
      <c r="L28" s="39"/>
      <c r="M28" s="39"/>
    </row>
    <row r="29" spans="1:22" x14ac:dyDescent="0.3">
      <c r="A29" s="383"/>
      <c r="B29" s="384"/>
      <c r="C29" s="384"/>
      <c r="D29" s="384"/>
      <c r="E29" s="384"/>
      <c r="F29" s="384"/>
      <c r="G29" s="384"/>
      <c r="H29" s="384"/>
      <c r="I29" s="384"/>
      <c r="J29" s="384"/>
      <c r="K29" s="384"/>
      <c r="L29" s="384"/>
      <c r="M29" s="384"/>
    </row>
    <row r="30" spans="1:22" x14ac:dyDescent="0.3">
      <c r="A30" s="39"/>
      <c r="B30" s="39"/>
      <c r="C30" s="39"/>
      <c r="D30" s="39"/>
      <c r="E30" s="39"/>
      <c r="F30" s="39"/>
      <c r="G30" s="39"/>
      <c r="H30" s="39"/>
      <c r="I30" s="39"/>
      <c r="J30" s="39"/>
      <c r="K30" s="39"/>
      <c r="L30" s="39"/>
      <c r="M30" s="39"/>
    </row>
    <row r="31" spans="1:22" x14ac:dyDescent="0.3">
      <c r="A31" s="39"/>
      <c r="B31" s="39"/>
      <c r="C31" s="39"/>
      <c r="D31" s="39"/>
      <c r="E31" s="39"/>
      <c r="F31" s="39"/>
      <c r="G31" s="39"/>
      <c r="H31" s="39"/>
      <c r="I31" s="39"/>
      <c r="J31" s="39"/>
      <c r="K31" s="39"/>
      <c r="L31" s="39"/>
      <c r="M31" s="39"/>
    </row>
    <row r="32" spans="1:22" x14ac:dyDescent="0.3">
      <c r="A32" s="39"/>
      <c r="B32" s="39"/>
      <c r="C32" s="39"/>
      <c r="D32" s="39"/>
      <c r="E32" s="39"/>
      <c r="F32" s="39"/>
      <c r="G32" s="39"/>
      <c r="H32" s="39"/>
      <c r="I32" s="39"/>
      <c r="J32" s="39"/>
      <c r="K32" s="39"/>
      <c r="L32" s="39"/>
      <c r="M32" s="39"/>
    </row>
    <row r="33" spans="1:13" x14ac:dyDescent="0.3">
      <c r="A33" s="39"/>
      <c r="B33" s="39"/>
      <c r="C33" s="39"/>
      <c r="D33" s="39"/>
      <c r="E33" s="39"/>
      <c r="F33" s="39"/>
      <c r="G33" s="39"/>
      <c r="H33" s="39"/>
      <c r="I33" s="39"/>
      <c r="J33" s="39"/>
      <c r="K33" s="39"/>
      <c r="L33" s="39"/>
      <c r="M33" s="39"/>
    </row>
    <row r="34" spans="1:13" x14ac:dyDescent="0.3">
      <c r="A34" s="39"/>
      <c r="B34" s="39"/>
      <c r="C34" s="39"/>
      <c r="D34" s="39"/>
      <c r="E34" s="39"/>
      <c r="F34" s="39"/>
      <c r="G34" s="39"/>
      <c r="H34" s="39"/>
      <c r="I34" s="39"/>
      <c r="J34" s="39"/>
      <c r="K34" s="39"/>
      <c r="L34" s="39"/>
      <c r="M34" s="39"/>
    </row>
    <row r="35" spans="1:13" x14ac:dyDescent="0.3">
      <c r="A35" s="39"/>
      <c r="B35" s="39"/>
      <c r="C35" s="39"/>
      <c r="D35" s="39"/>
      <c r="E35" s="39"/>
      <c r="F35" s="39"/>
      <c r="G35" s="39"/>
      <c r="H35" s="39"/>
      <c r="I35" s="39"/>
      <c r="J35" s="39"/>
      <c r="K35" s="39"/>
      <c r="L35" s="39"/>
      <c r="M35" s="39"/>
    </row>
    <row r="36" spans="1:13" x14ac:dyDescent="0.3">
      <c r="A36" s="39"/>
      <c r="B36" s="39"/>
      <c r="C36" s="39"/>
      <c r="D36" s="39"/>
      <c r="E36" s="39"/>
      <c r="F36" s="39"/>
      <c r="G36" s="39"/>
      <c r="H36" s="39"/>
      <c r="I36" s="39"/>
      <c r="J36" s="39"/>
      <c r="K36" s="39"/>
      <c r="L36" s="39"/>
      <c r="M36" s="39"/>
    </row>
    <row r="37" spans="1:13" x14ac:dyDescent="0.3">
      <c r="A37" s="39"/>
      <c r="B37" s="39"/>
      <c r="C37" s="39"/>
      <c r="D37" s="39"/>
      <c r="E37" s="39"/>
      <c r="F37" s="39"/>
      <c r="G37" s="39"/>
      <c r="H37" s="39"/>
      <c r="I37" s="39"/>
      <c r="J37" s="39"/>
      <c r="K37" s="39"/>
      <c r="L37" s="39"/>
      <c r="M37" s="39"/>
    </row>
    <row r="38" spans="1:13" x14ac:dyDescent="0.3">
      <c r="A38" s="39"/>
      <c r="B38" s="39"/>
      <c r="C38" s="39"/>
      <c r="D38" s="39"/>
      <c r="E38" s="39"/>
      <c r="F38" s="39"/>
      <c r="G38" s="39"/>
      <c r="H38" s="39"/>
      <c r="I38" s="39"/>
      <c r="J38" s="39"/>
      <c r="K38" s="39"/>
      <c r="L38" s="39"/>
      <c r="M38" s="39"/>
    </row>
    <row r="39" spans="1:13" x14ac:dyDescent="0.3">
      <c r="A39" s="39"/>
      <c r="B39" s="39"/>
      <c r="C39" s="39"/>
      <c r="D39" s="39"/>
      <c r="E39" s="39"/>
      <c r="F39" s="39"/>
      <c r="G39" s="39"/>
      <c r="H39" s="39"/>
      <c r="I39" s="39"/>
      <c r="J39" s="39"/>
      <c r="K39" s="39"/>
      <c r="L39" s="39"/>
      <c r="M39" s="39"/>
    </row>
    <row r="40" spans="1:13" x14ac:dyDescent="0.3">
      <c r="A40" s="39"/>
      <c r="B40" s="39"/>
      <c r="C40" s="39"/>
      <c r="D40" s="39"/>
      <c r="E40" s="39"/>
      <c r="F40" s="39"/>
      <c r="G40" s="39"/>
      <c r="H40" s="39"/>
      <c r="I40" s="39"/>
      <c r="J40" s="39"/>
      <c r="K40" s="39"/>
      <c r="L40" s="39"/>
      <c r="M40" s="39"/>
    </row>
    <row r="41" spans="1:13" x14ac:dyDescent="0.3">
      <c r="A41" s="39"/>
      <c r="B41" s="39"/>
      <c r="C41" s="39"/>
      <c r="D41" s="39"/>
      <c r="E41" s="39"/>
      <c r="F41" s="39"/>
      <c r="G41" s="39"/>
      <c r="H41" s="39"/>
      <c r="I41" s="39"/>
      <c r="J41" s="39"/>
      <c r="K41" s="39"/>
      <c r="L41" s="39"/>
      <c r="M41" s="39"/>
    </row>
    <row r="42" spans="1:13" x14ac:dyDescent="0.3">
      <c r="A42" s="39"/>
      <c r="B42" s="39"/>
      <c r="C42" s="39"/>
      <c r="D42" s="39"/>
      <c r="E42" s="39"/>
      <c r="F42" s="39"/>
      <c r="G42" s="39"/>
      <c r="H42" s="39"/>
      <c r="I42" s="39"/>
      <c r="J42" s="39"/>
      <c r="K42" s="39"/>
      <c r="L42" s="39"/>
      <c r="M42" s="39"/>
    </row>
    <row r="43" spans="1:13" x14ac:dyDescent="0.3">
      <c r="A43" s="39"/>
      <c r="B43" s="39"/>
      <c r="C43" s="39"/>
      <c r="D43" s="39"/>
      <c r="E43" s="39"/>
      <c r="F43" s="39"/>
      <c r="G43" s="39"/>
      <c r="H43" s="39"/>
      <c r="I43" s="39"/>
      <c r="J43" s="39"/>
      <c r="K43" s="39"/>
      <c r="L43" s="39"/>
      <c r="M43" s="39"/>
    </row>
    <row r="44" spans="1:13" x14ac:dyDescent="0.3">
      <c r="A44" s="39"/>
      <c r="B44" s="39"/>
      <c r="C44" s="39"/>
      <c r="D44" s="39"/>
      <c r="E44" s="39"/>
      <c r="F44" s="39"/>
      <c r="G44" s="39"/>
      <c r="H44" s="39"/>
      <c r="I44" s="39"/>
      <c r="J44" s="39"/>
      <c r="K44" s="39"/>
      <c r="L44" s="39"/>
      <c r="M44" s="39"/>
    </row>
    <row r="45" spans="1:13" x14ac:dyDescent="0.3">
      <c r="A45" s="39"/>
      <c r="B45" s="39"/>
      <c r="C45" s="39"/>
      <c r="D45" s="39"/>
      <c r="E45" s="39"/>
      <c r="F45" s="39"/>
      <c r="G45" s="39"/>
      <c r="H45" s="39"/>
      <c r="I45" s="39"/>
      <c r="J45" s="39"/>
      <c r="K45" s="39"/>
      <c r="L45" s="39"/>
      <c r="M45" s="39"/>
    </row>
    <row r="46" spans="1:13" x14ac:dyDescent="0.3">
      <c r="A46" s="39"/>
      <c r="B46" s="39"/>
      <c r="C46" s="39"/>
      <c r="D46" s="39"/>
      <c r="E46" s="39"/>
      <c r="F46" s="39"/>
      <c r="G46" s="39"/>
      <c r="H46" s="39"/>
      <c r="I46" s="39"/>
      <c r="J46" s="39"/>
      <c r="K46" s="39"/>
      <c r="L46" s="39"/>
      <c r="M46" s="39"/>
    </row>
    <row r="47" spans="1:13" x14ac:dyDescent="0.3">
      <c r="A47" s="39"/>
      <c r="B47" s="39"/>
      <c r="C47" s="39"/>
      <c r="D47" s="39"/>
      <c r="E47" s="39"/>
      <c r="F47" s="39"/>
      <c r="G47" s="39"/>
      <c r="H47" s="39"/>
      <c r="I47" s="39"/>
      <c r="J47" s="39"/>
      <c r="K47" s="39"/>
      <c r="L47" s="39"/>
      <c r="M47" s="39"/>
    </row>
    <row r="48" spans="1:13" x14ac:dyDescent="0.3">
      <c r="A48" s="39"/>
      <c r="B48" s="39"/>
      <c r="C48" s="39"/>
      <c r="D48" s="39"/>
      <c r="E48" s="39"/>
      <c r="F48" s="39"/>
      <c r="G48" s="39"/>
      <c r="H48" s="39"/>
      <c r="I48" s="39"/>
      <c r="J48" s="39"/>
      <c r="K48" s="39"/>
      <c r="L48" s="39"/>
      <c r="M48" s="39"/>
    </row>
    <row r="49" spans="1:13" x14ac:dyDescent="0.3">
      <c r="A49" s="39"/>
      <c r="B49" s="39"/>
      <c r="C49" s="39"/>
      <c r="D49" s="39"/>
      <c r="E49" s="39"/>
      <c r="F49" s="39"/>
      <c r="G49" s="39"/>
      <c r="H49" s="39"/>
      <c r="I49" s="39"/>
      <c r="J49" s="39"/>
      <c r="K49" s="39"/>
      <c r="L49" s="39"/>
      <c r="M49" s="39"/>
    </row>
    <row r="50" spans="1:13" x14ac:dyDescent="0.3">
      <c r="A50" s="39"/>
      <c r="B50" s="39"/>
      <c r="C50" s="39"/>
      <c r="D50" s="39"/>
      <c r="E50" s="39"/>
      <c r="F50" s="39"/>
      <c r="G50" s="39"/>
      <c r="H50" s="39"/>
      <c r="I50" s="39"/>
      <c r="J50" s="39"/>
      <c r="K50" s="39"/>
      <c r="L50" s="39"/>
      <c r="M50" s="39"/>
    </row>
    <row r="51" spans="1:13" x14ac:dyDescent="0.3">
      <c r="A51" s="39"/>
      <c r="B51" s="39"/>
      <c r="C51" s="39"/>
      <c r="D51" s="39"/>
      <c r="E51" s="39"/>
      <c r="F51" s="39"/>
      <c r="G51" s="39"/>
      <c r="H51" s="39"/>
      <c r="I51" s="39"/>
      <c r="J51" s="39"/>
      <c r="K51" s="39"/>
      <c r="L51" s="39"/>
      <c r="M51" s="39"/>
    </row>
    <row r="52" spans="1:13" x14ac:dyDescent="0.3">
      <c r="A52" s="39"/>
      <c r="B52" s="39"/>
      <c r="C52" s="39"/>
      <c r="D52" s="39"/>
      <c r="E52" s="39"/>
      <c r="F52" s="39"/>
      <c r="G52" s="39"/>
      <c r="H52" s="39"/>
      <c r="I52" s="39"/>
      <c r="J52" s="39"/>
      <c r="K52" s="39"/>
      <c r="L52" s="39"/>
      <c r="M52" s="39"/>
    </row>
    <row r="53" spans="1:13" x14ac:dyDescent="0.3">
      <c r="A53" s="39"/>
      <c r="B53" s="39"/>
      <c r="C53" s="39"/>
      <c r="D53" s="39"/>
      <c r="E53" s="39"/>
      <c r="F53" s="39"/>
      <c r="G53" s="39"/>
      <c r="H53" s="39"/>
      <c r="I53" s="39"/>
      <c r="J53" s="39"/>
      <c r="K53" s="39"/>
      <c r="L53" s="39"/>
      <c r="M53" s="39"/>
    </row>
  </sheetData>
  <sheetProtection algorithmName="SHA-512" hashValue="fHiyjnQxwBG67mtPSQwaq9zmK041Evpfvc9fARPLu80pX/OyozgTcc3sOchXvL7ZQEL+VyVlRWsZbgDyesenBw==" saltValue="3oKNLpZDhfVbL/idHKP8Wg==" spinCount="100000" sheet="1" objects="1" scenarios="1" selectLockedCells="1"/>
  <protectedRanges>
    <protectedRange algorithmName="SHA-512" hashValue="ipynFNZn0pufBFEZADZeeAyGEi+JWV8nHAUrbiPJ9Y8g9QC+WWj4zRY2j6wWwZ/NtKTO0cVBUWW4uM5rZUCeOQ==" saltValue="1VZ+Zn1PkH6cBPffDs1L1w==" spinCount="100000" sqref="G14:M15" name="Total Allocation"/>
    <protectedRange algorithmName="SHA-512" hashValue="lNcqq/b/lsnk95iB5XHq0PCRQDc9dvC4IFp0U4snaSUCM/moZUJf/mRHSIBefPWpvI8noEnjLM38ZtAzyO/BWg==" saltValue="a2+SEoRuu63mT/5dVMI08Q==" spinCount="100000" sqref="B16:L18" name="Focus Area"/>
  </protectedRanges>
  <mergeCells count="54">
    <mergeCell ref="O1:V1"/>
    <mergeCell ref="O2:V5"/>
    <mergeCell ref="A7:B7"/>
    <mergeCell ref="C7:E7"/>
    <mergeCell ref="G7:I7"/>
    <mergeCell ref="K7:M7"/>
    <mergeCell ref="A1:M1"/>
    <mergeCell ref="A2:M2"/>
    <mergeCell ref="A4:B4"/>
    <mergeCell ref="C4:M4"/>
    <mergeCell ref="C5:M5"/>
    <mergeCell ref="A8:B8"/>
    <mergeCell ref="A10:F10"/>
    <mergeCell ref="G10:H10"/>
    <mergeCell ref="I10:M10"/>
    <mergeCell ref="A6:B6"/>
    <mergeCell ref="C6:E6"/>
    <mergeCell ref="G6:I6"/>
    <mergeCell ref="K6:M6"/>
    <mergeCell ref="C8:E8"/>
    <mergeCell ref="G8:I8"/>
    <mergeCell ref="K8:M8"/>
    <mergeCell ref="A9:F9"/>
    <mergeCell ref="G9:M9"/>
    <mergeCell ref="G11:H11"/>
    <mergeCell ref="I11:J11"/>
    <mergeCell ref="G12:H12"/>
    <mergeCell ref="I12:M12"/>
    <mergeCell ref="O7:V8"/>
    <mergeCell ref="O9:V19"/>
    <mergeCell ref="A13:F13"/>
    <mergeCell ref="G13:H13"/>
    <mergeCell ref="I13:M13"/>
    <mergeCell ref="A14:F14"/>
    <mergeCell ref="G14:H14"/>
    <mergeCell ref="I14:M14"/>
    <mergeCell ref="A15:F15"/>
    <mergeCell ref="G15:H15"/>
    <mergeCell ref="I15:J15"/>
    <mergeCell ref="B16:D16"/>
    <mergeCell ref="F16:H16"/>
    <mergeCell ref="J16:L16"/>
    <mergeCell ref="A29:M29"/>
    <mergeCell ref="B17:D17"/>
    <mergeCell ref="F17:H17"/>
    <mergeCell ref="J17:L17"/>
    <mergeCell ref="A19:D19"/>
    <mergeCell ref="A20:D20"/>
    <mergeCell ref="A21:D21"/>
    <mergeCell ref="A22:D22"/>
    <mergeCell ref="A23:D23"/>
    <mergeCell ref="A24:D24"/>
    <mergeCell ref="A25:M25"/>
    <mergeCell ref="A26:M26"/>
  </mergeCells>
  <conditionalFormatting sqref="B16:D16">
    <cfRule type="cellIs" dxfId="172" priority="8" operator="between">
      <formula>0.01</formula>
      <formula>1</formula>
    </cfRule>
  </conditionalFormatting>
  <conditionalFormatting sqref="F16:H16">
    <cfRule type="cellIs" dxfId="171" priority="7" operator="between">
      <formula>0.01</formula>
      <formula>1</formula>
    </cfRule>
  </conditionalFormatting>
  <conditionalFormatting sqref="J16:L16">
    <cfRule type="cellIs" dxfId="170" priority="5" operator="equal">
      <formula>1</formula>
    </cfRule>
  </conditionalFormatting>
  <conditionalFormatting sqref="G15:H15">
    <cfRule type="expression" dxfId="169" priority="2">
      <formula>$G$15&gt;$I$15</formula>
    </cfRule>
    <cfRule type="expression" dxfId="168" priority="3">
      <formula>$G$15=$I$15</formula>
    </cfRule>
    <cfRule type="expression" dxfId="167" priority="4">
      <formula>$G$15&lt;$I$15</formula>
    </cfRule>
  </conditionalFormatting>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 id="{C8F1C68A-1471-4D1A-871F-0D83B369D390}">
            <xm:f>'Amend#2 Main Budget'!$M$23&lt;=G15</xm:f>
            <x14:dxf/>
          </x14:cfRule>
          <xm:sqref>M23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E5F88-97C7-405F-A84F-CB704FAB814C}">
  <sheetPr codeName="Sheet10">
    <tabColor rgb="FFCC6600"/>
  </sheetPr>
  <dimension ref="A1:O58"/>
  <sheetViews>
    <sheetView showGridLines="0" zoomScaleNormal="100" workbookViewId="0">
      <selection activeCell="J7" sqref="J7:L7"/>
    </sheetView>
  </sheetViews>
  <sheetFormatPr defaultColWidth="8.88671875" defaultRowHeight="14.4" x14ac:dyDescent="0.3"/>
  <cols>
    <col min="1" max="9" width="8.88671875" style="14"/>
    <col min="10" max="10" width="9.88671875" style="14" customWidth="1"/>
    <col min="11" max="14" width="8.88671875" style="14"/>
    <col min="15" max="15" width="3.109375" style="14" customWidth="1"/>
    <col min="16" max="16384" width="8.88671875" style="14"/>
  </cols>
  <sheetData>
    <row r="1" spans="1:13" ht="24" x14ac:dyDescent="0.3">
      <c r="A1" s="704" t="s">
        <v>133</v>
      </c>
      <c r="B1" s="704"/>
      <c r="C1" s="704"/>
      <c r="D1" s="704"/>
      <c r="E1" s="704"/>
      <c r="F1" s="704"/>
      <c r="G1" s="704"/>
      <c r="H1" s="704"/>
      <c r="I1" s="704"/>
      <c r="J1" s="704"/>
      <c r="K1" s="704"/>
      <c r="L1" s="704"/>
      <c r="M1" s="704"/>
    </row>
    <row r="2" spans="1:13" x14ac:dyDescent="0.3">
      <c r="A2" s="435" t="s">
        <v>100</v>
      </c>
      <c r="B2" s="435"/>
      <c r="C2" s="435"/>
      <c r="D2" s="435"/>
      <c r="E2" s="435"/>
      <c r="F2" s="435"/>
      <c r="G2" s="435"/>
      <c r="H2" s="435"/>
      <c r="I2" s="435"/>
      <c r="J2" s="435"/>
      <c r="K2" s="435"/>
      <c r="L2" s="435"/>
      <c r="M2" s="435"/>
    </row>
    <row r="3" spans="1:13" x14ac:dyDescent="0.3">
      <c r="B3" s="196"/>
      <c r="C3" s="189"/>
      <c r="D3" s="189"/>
      <c r="E3" s="189"/>
      <c r="F3" s="189"/>
      <c r="G3" s="189"/>
      <c r="H3" s="189"/>
      <c r="I3" s="189"/>
      <c r="J3" s="189"/>
      <c r="K3" s="189"/>
      <c r="L3" s="189"/>
      <c r="M3" s="197"/>
    </row>
    <row r="4" spans="1:13" ht="15" thickBot="1" x14ac:dyDescent="0.35">
      <c r="B4" s="198"/>
      <c r="C4" s="724">
        <f>'Equitable Share'!C4</f>
        <v>0</v>
      </c>
      <c r="D4" s="724"/>
      <c r="E4" s="199" t="s">
        <v>102</v>
      </c>
      <c r="F4" s="464">
        <f>I56</f>
        <v>0</v>
      </c>
      <c r="G4" s="464"/>
      <c r="H4" s="464"/>
      <c r="I4" s="199" t="s">
        <v>104</v>
      </c>
      <c r="J4" s="470">
        <f>C4+F4</f>
        <v>0</v>
      </c>
      <c r="K4" s="470"/>
      <c r="L4" s="470"/>
      <c r="M4" s="200"/>
    </row>
    <row r="5" spans="1:13" x14ac:dyDescent="0.3">
      <c r="B5" s="198"/>
      <c r="C5" s="462" t="s">
        <v>99</v>
      </c>
      <c r="D5" s="462"/>
      <c r="E5" s="30"/>
      <c r="F5" s="462" t="s">
        <v>103</v>
      </c>
      <c r="G5" s="462"/>
      <c r="H5" s="462"/>
      <c r="I5" s="462"/>
      <c r="J5" s="469" t="s">
        <v>101</v>
      </c>
      <c r="K5" s="469"/>
      <c r="L5" s="469"/>
      <c r="M5" s="200"/>
    </row>
    <row r="6" spans="1:13" ht="9.6" customHeight="1" x14ac:dyDescent="0.3">
      <c r="B6" s="198"/>
      <c r="C6" s="188"/>
      <c r="D6" s="188"/>
      <c r="E6" s="30"/>
      <c r="F6" s="188"/>
      <c r="G6" s="188"/>
      <c r="H6" s="188"/>
      <c r="I6" s="188"/>
      <c r="J6" s="30"/>
      <c r="K6" s="30"/>
      <c r="L6" s="30"/>
      <c r="M6" s="200"/>
    </row>
    <row r="7" spans="1:13" ht="15" thickBot="1" x14ac:dyDescent="0.35">
      <c r="B7" s="198"/>
      <c r="C7" s="471" t="str">
        <f>IFERROR('Amend#1 Overview'!G12," ")</f>
        <v/>
      </c>
      <c r="D7" s="464"/>
      <c r="E7" s="199" t="s">
        <v>111</v>
      </c>
      <c r="F7" s="472">
        <f>J4</f>
        <v>0</v>
      </c>
      <c r="G7" s="464"/>
      <c r="H7" s="464"/>
      <c r="I7" s="199" t="s">
        <v>104</v>
      </c>
      <c r="J7" s="802" t="str">
        <f>IFERROR((C7/F7),"")</f>
        <v/>
      </c>
      <c r="K7" s="802"/>
      <c r="L7" s="802"/>
      <c r="M7" s="200"/>
    </row>
    <row r="8" spans="1:13" x14ac:dyDescent="0.3">
      <c r="B8" s="198"/>
      <c r="C8" s="462" t="s">
        <v>178</v>
      </c>
      <c r="D8" s="462"/>
      <c r="E8" s="30"/>
      <c r="F8" s="30" t="s">
        <v>101</v>
      </c>
      <c r="G8" s="30"/>
      <c r="H8" s="30"/>
      <c r="I8" s="30"/>
      <c r="J8" s="465" t="s">
        <v>105</v>
      </c>
      <c r="K8" s="465"/>
      <c r="L8" s="465"/>
      <c r="M8" s="200"/>
    </row>
    <row r="9" spans="1:13" ht="9.6" customHeight="1" x14ac:dyDescent="0.3">
      <c r="B9" s="198"/>
      <c r="C9" s="30"/>
      <c r="D9" s="30"/>
      <c r="E9" s="30"/>
      <c r="F9" s="30"/>
      <c r="G9" s="30"/>
      <c r="H9" s="30"/>
      <c r="I9" s="30"/>
      <c r="J9" s="30"/>
      <c r="K9" s="30"/>
      <c r="L9" s="30"/>
      <c r="M9" s="200"/>
    </row>
    <row r="10" spans="1:13" ht="15" thickBot="1" x14ac:dyDescent="0.35">
      <c r="B10" s="201"/>
      <c r="C10" s="202"/>
      <c r="D10" s="202"/>
      <c r="E10" s="202"/>
      <c r="F10" s="202"/>
      <c r="G10" s="202"/>
      <c r="H10" s="202"/>
      <c r="I10" s="202"/>
      <c r="J10" s="202"/>
      <c r="K10" s="202"/>
      <c r="L10" s="202"/>
      <c r="M10" s="203"/>
    </row>
    <row r="11" spans="1:13" s="59" customFormat="1" ht="43.2" customHeight="1" x14ac:dyDescent="0.3">
      <c r="A11" s="723" t="s">
        <v>106</v>
      </c>
      <c r="B11" s="467"/>
      <c r="C11" s="467"/>
      <c r="D11" s="467" t="s">
        <v>107</v>
      </c>
      <c r="E11" s="467"/>
      <c r="F11" s="467"/>
      <c r="G11" s="467"/>
      <c r="H11" s="467"/>
      <c r="I11" s="467" t="s">
        <v>2032</v>
      </c>
      <c r="J11" s="467"/>
      <c r="K11" s="467" t="s">
        <v>110</v>
      </c>
      <c r="L11" s="467"/>
      <c r="M11" s="468"/>
    </row>
    <row r="12" spans="1:13" x14ac:dyDescent="0.3">
      <c r="A12" s="711">
        <f>'Equitable Share'!$A12</f>
        <v>0</v>
      </c>
      <c r="B12" s="711"/>
      <c r="C12" s="711"/>
      <c r="D12" s="460" t="str">
        <f>'Equitable Share'!D12</f>
        <v xml:space="preserve"> </v>
      </c>
      <c r="E12" s="460"/>
      <c r="F12" s="460"/>
      <c r="G12" s="460"/>
      <c r="H12" s="460"/>
      <c r="I12" s="712">
        <f>'Equitable Share'!I12</f>
        <v>0</v>
      </c>
      <c r="J12" s="712"/>
      <c r="K12" s="713" t="str">
        <f>IFERROR(I12*$J$7," ")</f>
        <v xml:space="preserve"> </v>
      </c>
      <c r="L12" s="714"/>
      <c r="M12" s="715"/>
    </row>
    <row r="13" spans="1:13" x14ac:dyDescent="0.3">
      <c r="A13" s="716">
        <f>'Equitable Share'!$A13</f>
        <v>0</v>
      </c>
      <c r="B13" s="717"/>
      <c r="C13" s="718"/>
      <c r="D13" s="459" t="str">
        <f>'Equitable Share'!D13</f>
        <v xml:space="preserve"> </v>
      </c>
      <c r="E13" s="459"/>
      <c r="F13" s="459"/>
      <c r="G13" s="459"/>
      <c r="H13" s="459"/>
      <c r="I13" s="719">
        <f>'Equitable Share'!I13</f>
        <v>0</v>
      </c>
      <c r="J13" s="719"/>
      <c r="K13" s="720" t="str">
        <f t="shared" ref="K13:K56" si="0">IFERROR(I13*$J$7," ")</f>
        <v xml:space="preserve"> </v>
      </c>
      <c r="L13" s="721"/>
      <c r="M13" s="722"/>
    </row>
    <row r="14" spans="1:13" x14ac:dyDescent="0.3">
      <c r="A14" s="711">
        <f>'Equitable Share'!$A14</f>
        <v>0</v>
      </c>
      <c r="B14" s="711"/>
      <c r="C14" s="711"/>
      <c r="D14" s="460" t="str">
        <f>'Equitable Share'!D14</f>
        <v xml:space="preserve"> </v>
      </c>
      <c r="E14" s="460"/>
      <c r="F14" s="460"/>
      <c r="G14" s="460"/>
      <c r="H14" s="460"/>
      <c r="I14" s="712">
        <f>'Equitable Share'!I14</f>
        <v>0</v>
      </c>
      <c r="J14" s="712"/>
      <c r="K14" s="713" t="str">
        <f t="shared" si="0"/>
        <v xml:space="preserve"> </v>
      </c>
      <c r="L14" s="714"/>
      <c r="M14" s="715"/>
    </row>
    <row r="15" spans="1:13" x14ac:dyDescent="0.3">
      <c r="A15" s="716">
        <f>'Equitable Share'!$A15</f>
        <v>0</v>
      </c>
      <c r="B15" s="717"/>
      <c r="C15" s="718"/>
      <c r="D15" s="459" t="str">
        <f>'Equitable Share'!D15</f>
        <v xml:space="preserve"> </v>
      </c>
      <c r="E15" s="459"/>
      <c r="F15" s="459"/>
      <c r="G15" s="459"/>
      <c r="H15" s="459"/>
      <c r="I15" s="719">
        <f>'Equitable Share'!I15</f>
        <v>0</v>
      </c>
      <c r="J15" s="719"/>
      <c r="K15" s="720" t="str">
        <f t="shared" si="0"/>
        <v xml:space="preserve"> </v>
      </c>
      <c r="L15" s="721"/>
      <c r="M15" s="722"/>
    </row>
    <row r="16" spans="1:13" x14ac:dyDescent="0.3">
      <c r="A16" s="711">
        <f>'Equitable Share'!$A16</f>
        <v>0</v>
      </c>
      <c r="B16" s="711"/>
      <c r="C16" s="711"/>
      <c r="D16" s="460" t="str">
        <f>'Equitable Share'!D16</f>
        <v xml:space="preserve"> </v>
      </c>
      <c r="E16" s="460"/>
      <c r="F16" s="460"/>
      <c r="G16" s="460"/>
      <c r="H16" s="460"/>
      <c r="I16" s="712">
        <f>'Equitable Share'!I16</f>
        <v>0</v>
      </c>
      <c r="J16" s="712"/>
      <c r="K16" s="713" t="str">
        <f t="shared" si="0"/>
        <v xml:space="preserve"> </v>
      </c>
      <c r="L16" s="714"/>
      <c r="M16" s="715"/>
    </row>
    <row r="17" spans="1:13" x14ac:dyDescent="0.3">
      <c r="A17" s="716">
        <f>'Equitable Share'!$A17</f>
        <v>0</v>
      </c>
      <c r="B17" s="717"/>
      <c r="C17" s="718"/>
      <c r="D17" s="459" t="str">
        <f>'Equitable Share'!D17</f>
        <v xml:space="preserve"> </v>
      </c>
      <c r="E17" s="459"/>
      <c r="F17" s="459"/>
      <c r="G17" s="459"/>
      <c r="H17" s="459"/>
      <c r="I17" s="719">
        <f>'Equitable Share'!I17</f>
        <v>0</v>
      </c>
      <c r="J17" s="719"/>
      <c r="K17" s="720" t="str">
        <f t="shared" si="0"/>
        <v xml:space="preserve"> </v>
      </c>
      <c r="L17" s="721"/>
      <c r="M17" s="722"/>
    </row>
    <row r="18" spans="1:13" x14ac:dyDescent="0.3">
      <c r="A18" s="711">
        <f>'Equitable Share'!$A18</f>
        <v>0</v>
      </c>
      <c r="B18" s="711"/>
      <c r="C18" s="711"/>
      <c r="D18" s="460" t="str">
        <f>'Equitable Share'!D18</f>
        <v xml:space="preserve"> </v>
      </c>
      <c r="E18" s="460"/>
      <c r="F18" s="460"/>
      <c r="G18" s="460"/>
      <c r="H18" s="460"/>
      <c r="I18" s="712">
        <f>'Equitable Share'!I18</f>
        <v>0</v>
      </c>
      <c r="J18" s="712"/>
      <c r="K18" s="713" t="str">
        <f t="shared" si="0"/>
        <v xml:space="preserve"> </v>
      </c>
      <c r="L18" s="714"/>
      <c r="M18" s="715"/>
    </row>
    <row r="19" spans="1:13" x14ac:dyDescent="0.3">
      <c r="A19" s="716">
        <f>'Equitable Share'!$A19</f>
        <v>0</v>
      </c>
      <c r="B19" s="717"/>
      <c r="C19" s="718"/>
      <c r="D19" s="459" t="str">
        <f>'Equitable Share'!D19</f>
        <v xml:space="preserve"> </v>
      </c>
      <c r="E19" s="459"/>
      <c r="F19" s="459"/>
      <c r="G19" s="459"/>
      <c r="H19" s="459"/>
      <c r="I19" s="719">
        <f>'Equitable Share'!I19</f>
        <v>0</v>
      </c>
      <c r="J19" s="719"/>
      <c r="K19" s="720" t="str">
        <f t="shared" si="0"/>
        <v xml:space="preserve"> </v>
      </c>
      <c r="L19" s="721"/>
      <c r="M19" s="722"/>
    </row>
    <row r="20" spans="1:13" x14ac:dyDescent="0.3">
      <c r="A20" s="711">
        <f>'Equitable Share'!$A20</f>
        <v>0</v>
      </c>
      <c r="B20" s="711"/>
      <c r="C20" s="711"/>
      <c r="D20" s="460" t="str">
        <f>'Equitable Share'!D20</f>
        <v xml:space="preserve"> </v>
      </c>
      <c r="E20" s="460"/>
      <c r="F20" s="460"/>
      <c r="G20" s="460"/>
      <c r="H20" s="460"/>
      <c r="I20" s="712">
        <f>'Equitable Share'!I20</f>
        <v>0</v>
      </c>
      <c r="J20" s="712"/>
      <c r="K20" s="713" t="str">
        <f t="shared" si="0"/>
        <v xml:space="preserve"> </v>
      </c>
      <c r="L20" s="714"/>
      <c r="M20" s="715"/>
    </row>
    <row r="21" spans="1:13" x14ac:dyDescent="0.3">
      <c r="A21" s="716">
        <f>'Equitable Share'!$A21</f>
        <v>0</v>
      </c>
      <c r="B21" s="717"/>
      <c r="C21" s="718"/>
      <c r="D21" s="459" t="str">
        <f>'Equitable Share'!D21</f>
        <v xml:space="preserve"> </v>
      </c>
      <c r="E21" s="459"/>
      <c r="F21" s="459"/>
      <c r="G21" s="459"/>
      <c r="H21" s="459"/>
      <c r="I21" s="719">
        <f>'Equitable Share'!I21</f>
        <v>0</v>
      </c>
      <c r="J21" s="719"/>
      <c r="K21" s="720" t="str">
        <f t="shared" si="0"/>
        <v xml:space="preserve"> </v>
      </c>
      <c r="L21" s="721"/>
      <c r="M21" s="722"/>
    </row>
    <row r="22" spans="1:13" x14ac:dyDescent="0.3">
      <c r="A22" s="711">
        <f>'Equitable Share'!$A22</f>
        <v>0</v>
      </c>
      <c r="B22" s="711"/>
      <c r="C22" s="711"/>
      <c r="D22" s="460" t="str">
        <f>'Equitable Share'!D22</f>
        <v xml:space="preserve"> </v>
      </c>
      <c r="E22" s="460"/>
      <c r="F22" s="460"/>
      <c r="G22" s="460"/>
      <c r="H22" s="460"/>
      <c r="I22" s="712">
        <f>'Equitable Share'!I22</f>
        <v>0</v>
      </c>
      <c r="J22" s="712"/>
      <c r="K22" s="713" t="str">
        <f t="shared" si="0"/>
        <v xml:space="preserve"> </v>
      </c>
      <c r="L22" s="714"/>
      <c r="M22" s="715"/>
    </row>
    <row r="23" spans="1:13" x14ac:dyDescent="0.3">
      <c r="A23" s="716">
        <f>'Equitable Share'!$A23</f>
        <v>0</v>
      </c>
      <c r="B23" s="717"/>
      <c r="C23" s="718"/>
      <c r="D23" s="459" t="str">
        <f>'Equitable Share'!D23</f>
        <v xml:space="preserve"> </v>
      </c>
      <c r="E23" s="459"/>
      <c r="F23" s="459"/>
      <c r="G23" s="459"/>
      <c r="H23" s="459"/>
      <c r="I23" s="719">
        <f>'Equitable Share'!I23</f>
        <v>0</v>
      </c>
      <c r="J23" s="719"/>
      <c r="K23" s="720" t="str">
        <f t="shared" si="0"/>
        <v xml:space="preserve"> </v>
      </c>
      <c r="L23" s="721"/>
      <c r="M23" s="722"/>
    </row>
    <row r="24" spans="1:13" x14ac:dyDescent="0.3">
      <c r="A24" s="711">
        <f>'Equitable Share'!$A24</f>
        <v>0</v>
      </c>
      <c r="B24" s="711"/>
      <c r="C24" s="711"/>
      <c r="D24" s="460" t="str">
        <f>'Equitable Share'!D24</f>
        <v xml:space="preserve"> </v>
      </c>
      <c r="E24" s="460"/>
      <c r="F24" s="460"/>
      <c r="G24" s="460"/>
      <c r="H24" s="460"/>
      <c r="I24" s="712">
        <f>'Equitable Share'!I24</f>
        <v>0</v>
      </c>
      <c r="J24" s="712"/>
      <c r="K24" s="713" t="str">
        <f t="shared" si="0"/>
        <v xml:space="preserve"> </v>
      </c>
      <c r="L24" s="714"/>
      <c r="M24" s="715"/>
    </row>
    <row r="25" spans="1:13" x14ac:dyDescent="0.3">
      <c r="A25" s="716">
        <f>'Equitable Share'!$A25</f>
        <v>0</v>
      </c>
      <c r="B25" s="717"/>
      <c r="C25" s="718"/>
      <c r="D25" s="459" t="str">
        <f>'Equitable Share'!D25</f>
        <v xml:space="preserve"> </v>
      </c>
      <c r="E25" s="459"/>
      <c r="F25" s="459"/>
      <c r="G25" s="459"/>
      <c r="H25" s="459"/>
      <c r="I25" s="719">
        <f>'Equitable Share'!I25</f>
        <v>0</v>
      </c>
      <c r="J25" s="719"/>
      <c r="K25" s="720" t="str">
        <f t="shared" si="0"/>
        <v xml:space="preserve"> </v>
      </c>
      <c r="L25" s="721"/>
      <c r="M25" s="722"/>
    </row>
    <row r="26" spans="1:13" x14ac:dyDescent="0.3">
      <c r="A26" s="711">
        <f>'Equitable Share'!$A26</f>
        <v>0</v>
      </c>
      <c r="B26" s="711"/>
      <c r="C26" s="711"/>
      <c r="D26" s="460" t="str">
        <f>'Equitable Share'!D26</f>
        <v xml:space="preserve"> </v>
      </c>
      <c r="E26" s="460"/>
      <c r="F26" s="460"/>
      <c r="G26" s="460"/>
      <c r="H26" s="460"/>
      <c r="I26" s="712">
        <f>'Equitable Share'!I26</f>
        <v>0</v>
      </c>
      <c r="J26" s="712"/>
      <c r="K26" s="713" t="str">
        <f t="shared" si="0"/>
        <v xml:space="preserve"> </v>
      </c>
      <c r="L26" s="714"/>
      <c r="M26" s="715"/>
    </row>
    <row r="27" spans="1:13" x14ac:dyDescent="0.3">
      <c r="A27" s="716">
        <f>'Equitable Share'!$A27</f>
        <v>0</v>
      </c>
      <c r="B27" s="717"/>
      <c r="C27" s="718"/>
      <c r="D27" s="459" t="str">
        <f>'Equitable Share'!D27</f>
        <v xml:space="preserve"> </v>
      </c>
      <c r="E27" s="459"/>
      <c r="F27" s="459"/>
      <c r="G27" s="459"/>
      <c r="H27" s="459"/>
      <c r="I27" s="719">
        <f>'Equitable Share'!I27</f>
        <v>0</v>
      </c>
      <c r="J27" s="719"/>
      <c r="K27" s="720" t="str">
        <f t="shared" si="0"/>
        <v xml:space="preserve"> </v>
      </c>
      <c r="L27" s="721"/>
      <c r="M27" s="722"/>
    </row>
    <row r="28" spans="1:13" x14ac:dyDescent="0.3">
      <c r="A28" s="711">
        <f>'Equitable Share'!$A28</f>
        <v>0</v>
      </c>
      <c r="B28" s="711"/>
      <c r="C28" s="711"/>
      <c r="D28" s="460" t="str">
        <f>'Equitable Share'!D28</f>
        <v xml:space="preserve"> </v>
      </c>
      <c r="E28" s="460"/>
      <c r="F28" s="460"/>
      <c r="G28" s="460"/>
      <c r="H28" s="460"/>
      <c r="I28" s="712">
        <f>'Equitable Share'!I28</f>
        <v>0</v>
      </c>
      <c r="J28" s="712"/>
      <c r="K28" s="713" t="str">
        <f t="shared" si="0"/>
        <v xml:space="preserve"> </v>
      </c>
      <c r="L28" s="714"/>
      <c r="M28" s="715"/>
    </row>
    <row r="29" spans="1:13" x14ac:dyDescent="0.3">
      <c r="A29" s="716">
        <f>'Equitable Share'!$A29</f>
        <v>0</v>
      </c>
      <c r="B29" s="717"/>
      <c r="C29" s="718"/>
      <c r="D29" s="459" t="str">
        <f>'Equitable Share'!D29</f>
        <v xml:space="preserve"> </v>
      </c>
      <c r="E29" s="459"/>
      <c r="F29" s="459"/>
      <c r="G29" s="459"/>
      <c r="H29" s="459"/>
      <c r="I29" s="719">
        <f>'Equitable Share'!I29</f>
        <v>0</v>
      </c>
      <c r="J29" s="719"/>
      <c r="K29" s="720" t="str">
        <f t="shared" si="0"/>
        <v xml:space="preserve"> </v>
      </c>
      <c r="L29" s="721"/>
      <c r="M29" s="722"/>
    </row>
    <row r="30" spans="1:13" x14ac:dyDescent="0.3">
      <c r="A30" s="711">
        <f>'Equitable Share'!$A30</f>
        <v>0</v>
      </c>
      <c r="B30" s="711"/>
      <c r="C30" s="711"/>
      <c r="D30" s="460" t="str">
        <f>'Equitable Share'!D30</f>
        <v xml:space="preserve"> </v>
      </c>
      <c r="E30" s="460"/>
      <c r="F30" s="460"/>
      <c r="G30" s="460"/>
      <c r="H30" s="460"/>
      <c r="I30" s="712">
        <f>'Equitable Share'!I30</f>
        <v>0</v>
      </c>
      <c r="J30" s="712"/>
      <c r="K30" s="713" t="str">
        <f t="shared" si="0"/>
        <v xml:space="preserve"> </v>
      </c>
      <c r="L30" s="714"/>
      <c r="M30" s="715"/>
    </row>
    <row r="31" spans="1:13" x14ac:dyDescent="0.3">
      <c r="A31" s="716">
        <f>'Equitable Share'!$A31</f>
        <v>0</v>
      </c>
      <c r="B31" s="717"/>
      <c r="C31" s="718"/>
      <c r="D31" s="459" t="str">
        <f>'Equitable Share'!D31</f>
        <v xml:space="preserve"> </v>
      </c>
      <c r="E31" s="459"/>
      <c r="F31" s="459"/>
      <c r="G31" s="459"/>
      <c r="H31" s="459"/>
      <c r="I31" s="719">
        <f>'Equitable Share'!I31</f>
        <v>0</v>
      </c>
      <c r="J31" s="719"/>
      <c r="K31" s="720" t="str">
        <f t="shared" si="0"/>
        <v xml:space="preserve"> </v>
      </c>
      <c r="L31" s="721"/>
      <c r="M31" s="722"/>
    </row>
    <row r="32" spans="1:13" x14ac:dyDescent="0.3">
      <c r="A32" s="711">
        <f>'Equitable Share'!$A32</f>
        <v>0</v>
      </c>
      <c r="B32" s="711"/>
      <c r="C32" s="711"/>
      <c r="D32" s="460" t="str">
        <f>'Equitable Share'!D32</f>
        <v xml:space="preserve"> </v>
      </c>
      <c r="E32" s="460"/>
      <c r="F32" s="460"/>
      <c r="G32" s="460"/>
      <c r="H32" s="460"/>
      <c r="I32" s="712">
        <f>'Equitable Share'!I32</f>
        <v>0</v>
      </c>
      <c r="J32" s="712"/>
      <c r="K32" s="713" t="str">
        <f t="shared" si="0"/>
        <v xml:space="preserve"> </v>
      </c>
      <c r="L32" s="714"/>
      <c r="M32" s="715"/>
    </row>
    <row r="33" spans="1:13" x14ac:dyDescent="0.3">
      <c r="A33" s="716">
        <f>'Equitable Share'!$A33</f>
        <v>0</v>
      </c>
      <c r="B33" s="717"/>
      <c r="C33" s="718"/>
      <c r="D33" s="459" t="str">
        <f>'Equitable Share'!D33</f>
        <v xml:space="preserve"> </v>
      </c>
      <c r="E33" s="459"/>
      <c r="F33" s="459"/>
      <c r="G33" s="459"/>
      <c r="H33" s="459"/>
      <c r="I33" s="719">
        <f>'Equitable Share'!I33</f>
        <v>0</v>
      </c>
      <c r="J33" s="719"/>
      <c r="K33" s="720" t="str">
        <f t="shared" si="0"/>
        <v xml:space="preserve"> </v>
      </c>
      <c r="L33" s="721"/>
      <c r="M33" s="722"/>
    </row>
    <row r="34" spans="1:13" x14ac:dyDescent="0.3">
      <c r="A34" s="711">
        <f>'Equitable Share'!$A34</f>
        <v>0</v>
      </c>
      <c r="B34" s="711"/>
      <c r="C34" s="711"/>
      <c r="D34" s="460" t="str">
        <f>'Equitable Share'!D34</f>
        <v xml:space="preserve"> </v>
      </c>
      <c r="E34" s="460"/>
      <c r="F34" s="460"/>
      <c r="G34" s="460"/>
      <c r="H34" s="460"/>
      <c r="I34" s="712">
        <f>'Equitable Share'!I34</f>
        <v>0</v>
      </c>
      <c r="J34" s="712"/>
      <c r="K34" s="713" t="str">
        <f t="shared" si="0"/>
        <v xml:space="preserve"> </v>
      </c>
      <c r="L34" s="714"/>
      <c r="M34" s="715"/>
    </row>
    <row r="35" spans="1:13" x14ac:dyDescent="0.3">
      <c r="A35" s="716">
        <f>'Equitable Share'!$A35</f>
        <v>0</v>
      </c>
      <c r="B35" s="717"/>
      <c r="C35" s="718"/>
      <c r="D35" s="459" t="str">
        <f>'Equitable Share'!D35</f>
        <v xml:space="preserve"> </v>
      </c>
      <c r="E35" s="459"/>
      <c r="F35" s="459"/>
      <c r="G35" s="459"/>
      <c r="H35" s="459"/>
      <c r="I35" s="719">
        <f>'Equitable Share'!I35</f>
        <v>0</v>
      </c>
      <c r="J35" s="719"/>
      <c r="K35" s="720" t="str">
        <f t="shared" si="0"/>
        <v xml:space="preserve"> </v>
      </c>
      <c r="L35" s="721"/>
      <c r="M35" s="722"/>
    </row>
    <row r="36" spans="1:13" x14ac:dyDescent="0.3">
      <c r="A36" s="711">
        <f>'Equitable Share'!$A36</f>
        <v>0</v>
      </c>
      <c r="B36" s="711"/>
      <c r="C36" s="711"/>
      <c r="D36" s="460" t="str">
        <f>'Equitable Share'!D36</f>
        <v xml:space="preserve"> </v>
      </c>
      <c r="E36" s="460"/>
      <c r="F36" s="460"/>
      <c r="G36" s="460"/>
      <c r="H36" s="460"/>
      <c r="I36" s="712">
        <f>'Equitable Share'!I36</f>
        <v>0</v>
      </c>
      <c r="J36" s="712"/>
      <c r="K36" s="713" t="str">
        <f t="shared" si="0"/>
        <v xml:space="preserve"> </v>
      </c>
      <c r="L36" s="714"/>
      <c r="M36" s="715"/>
    </row>
    <row r="37" spans="1:13" x14ac:dyDescent="0.3">
      <c r="A37" s="716">
        <f>'Equitable Share'!$A37</f>
        <v>0</v>
      </c>
      <c r="B37" s="717"/>
      <c r="C37" s="718"/>
      <c r="D37" s="459" t="str">
        <f>'Equitable Share'!D37</f>
        <v xml:space="preserve"> </v>
      </c>
      <c r="E37" s="459"/>
      <c r="F37" s="459"/>
      <c r="G37" s="459"/>
      <c r="H37" s="459"/>
      <c r="I37" s="719">
        <f>'Equitable Share'!I37</f>
        <v>0</v>
      </c>
      <c r="J37" s="719"/>
      <c r="K37" s="720" t="str">
        <f t="shared" si="0"/>
        <v xml:space="preserve"> </v>
      </c>
      <c r="L37" s="721"/>
      <c r="M37" s="722"/>
    </row>
    <row r="38" spans="1:13" x14ac:dyDescent="0.3">
      <c r="A38" s="711">
        <f>'Equitable Share'!$A38</f>
        <v>0</v>
      </c>
      <c r="B38" s="711"/>
      <c r="C38" s="711"/>
      <c r="D38" s="460" t="str">
        <f>'Equitable Share'!D38</f>
        <v xml:space="preserve"> </v>
      </c>
      <c r="E38" s="460"/>
      <c r="F38" s="460"/>
      <c r="G38" s="460"/>
      <c r="H38" s="460"/>
      <c r="I38" s="712">
        <f>'Equitable Share'!I38</f>
        <v>0</v>
      </c>
      <c r="J38" s="712"/>
      <c r="K38" s="713" t="str">
        <f t="shared" si="0"/>
        <v xml:space="preserve"> </v>
      </c>
      <c r="L38" s="714"/>
      <c r="M38" s="715"/>
    </row>
    <row r="39" spans="1:13" x14ac:dyDescent="0.3">
      <c r="A39" s="716">
        <f>'Equitable Share'!$A39</f>
        <v>0</v>
      </c>
      <c r="B39" s="717"/>
      <c r="C39" s="718"/>
      <c r="D39" s="459" t="str">
        <f>'Equitable Share'!D39</f>
        <v xml:space="preserve"> </v>
      </c>
      <c r="E39" s="459"/>
      <c r="F39" s="459"/>
      <c r="G39" s="459"/>
      <c r="H39" s="459"/>
      <c r="I39" s="719">
        <f>'Equitable Share'!I39</f>
        <v>0</v>
      </c>
      <c r="J39" s="719"/>
      <c r="K39" s="720" t="str">
        <f t="shared" si="0"/>
        <v xml:space="preserve"> </v>
      </c>
      <c r="L39" s="721"/>
      <c r="M39" s="722"/>
    </row>
    <row r="40" spans="1:13" x14ac:dyDescent="0.3">
      <c r="A40" s="711">
        <f>'Equitable Share'!$A40</f>
        <v>0</v>
      </c>
      <c r="B40" s="711"/>
      <c r="C40" s="711"/>
      <c r="D40" s="460" t="str">
        <f>'Equitable Share'!D40</f>
        <v xml:space="preserve"> </v>
      </c>
      <c r="E40" s="460"/>
      <c r="F40" s="460"/>
      <c r="G40" s="460"/>
      <c r="H40" s="460"/>
      <c r="I40" s="712">
        <f>'Equitable Share'!I40</f>
        <v>0</v>
      </c>
      <c r="J40" s="712"/>
      <c r="K40" s="713" t="str">
        <f t="shared" si="0"/>
        <v xml:space="preserve"> </v>
      </c>
      <c r="L40" s="714"/>
      <c r="M40" s="715"/>
    </row>
    <row r="41" spans="1:13" x14ac:dyDescent="0.3">
      <c r="A41" s="716">
        <f>'Equitable Share'!$A41</f>
        <v>0</v>
      </c>
      <c r="B41" s="717"/>
      <c r="C41" s="718"/>
      <c r="D41" s="459" t="str">
        <f>'Equitable Share'!D41</f>
        <v xml:space="preserve"> </v>
      </c>
      <c r="E41" s="459"/>
      <c r="F41" s="459"/>
      <c r="G41" s="459"/>
      <c r="H41" s="459"/>
      <c r="I41" s="719">
        <f>'Equitable Share'!I41</f>
        <v>0</v>
      </c>
      <c r="J41" s="719"/>
      <c r="K41" s="720" t="str">
        <f t="shared" si="0"/>
        <v xml:space="preserve"> </v>
      </c>
      <c r="L41" s="721"/>
      <c r="M41" s="722"/>
    </row>
    <row r="42" spans="1:13" x14ac:dyDescent="0.3">
      <c r="A42" s="711">
        <f>'Equitable Share'!$A42</f>
        <v>0</v>
      </c>
      <c r="B42" s="711"/>
      <c r="C42" s="711"/>
      <c r="D42" s="460" t="str">
        <f>'Equitable Share'!D42</f>
        <v xml:space="preserve"> </v>
      </c>
      <c r="E42" s="460"/>
      <c r="F42" s="460"/>
      <c r="G42" s="460"/>
      <c r="H42" s="460"/>
      <c r="I42" s="712">
        <f>'Equitable Share'!I42</f>
        <v>0</v>
      </c>
      <c r="J42" s="712"/>
      <c r="K42" s="713" t="str">
        <f t="shared" si="0"/>
        <v xml:space="preserve"> </v>
      </c>
      <c r="L42" s="714"/>
      <c r="M42" s="715"/>
    </row>
    <row r="43" spans="1:13" x14ac:dyDescent="0.3">
      <c r="A43" s="716">
        <f>'Equitable Share'!$A43</f>
        <v>0</v>
      </c>
      <c r="B43" s="717"/>
      <c r="C43" s="718"/>
      <c r="D43" s="459" t="str">
        <f>'Equitable Share'!D43</f>
        <v xml:space="preserve"> </v>
      </c>
      <c r="E43" s="459"/>
      <c r="F43" s="459"/>
      <c r="G43" s="459"/>
      <c r="H43" s="459"/>
      <c r="I43" s="719">
        <f>'Equitable Share'!I43</f>
        <v>0</v>
      </c>
      <c r="J43" s="719"/>
      <c r="K43" s="720" t="str">
        <f t="shared" si="0"/>
        <v xml:space="preserve"> </v>
      </c>
      <c r="L43" s="721"/>
      <c r="M43" s="722"/>
    </row>
    <row r="44" spans="1:13" x14ac:dyDescent="0.3">
      <c r="A44" s="711">
        <f>'Equitable Share'!$A44</f>
        <v>0</v>
      </c>
      <c r="B44" s="711"/>
      <c r="C44" s="711"/>
      <c r="D44" s="460" t="str">
        <f>'Equitable Share'!D44</f>
        <v xml:space="preserve"> </v>
      </c>
      <c r="E44" s="460"/>
      <c r="F44" s="460"/>
      <c r="G44" s="460"/>
      <c r="H44" s="460"/>
      <c r="I44" s="712">
        <f>'Equitable Share'!I44</f>
        <v>0</v>
      </c>
      <c r="J44" s="712"/>
      <c r="K44" s="713" t="str">
        <f t="shared" si="0"/>
        <v xml:space="preserve"> </v>
      </c>
      <c r="L44" s="714"/>
      <c r="M44" s="715"/>
    </row>
    <row r="45" spans="1:13" x14ac:dyDescent="0.3">
      <c r="A45" s="716">
        <f>'Equitable Share'!$A45</f>
        <v>0</v>
      </c>
      <c r="B45" s="717"/>
      <c r="C45" s="718"/>
      <c r="D45" s="459" t="str">
        <f>'Equitable Share'!D45</f>
        <v xml:space="preserve"> </v>
      </c>
      <c r="E45" s="459"/>
      <c r="F45" s="459"/>
      <c r="G45" s="459"/>
      <c r="H45" s="459"/>
      <c r="I45" s="719">
        <f>'Equitable Share'!I45</f>
        <v>0</v>
      </c>
      <c r="J45" s="719"/>
      <c r="K45" s="720" t="str">
        <f t="shared" si="0"/>
        <v xml:space="preserve"> </v>
      </c>
      <c r="L45" s="721"/>
      <c r="M45" s="722"/>
    </row>
    <row r="46" spans="1:13" x14ac:dyDescent="0.3">
      <c r="A46" s="711">
        <f>'Equitable Share'!$A46</f>
        <v>0</v>
      </c>
      <c r="B46" s="711"/>
      <c r="C46" s="711"/>
      <c r="D46" s="460" t="str">
        <f>'Equitable Share'!D46</f>
        <v xml:space="preserve"> </v>
      </c>
      <c r="E46" s="460"/>
      <c r="F46" s="460"/>
      <c r="G46" s="460"/>
      <c r="H46" s="460"/>
      <c r="I46" s="712">
        <f>'Equitable Share'!I46</f>
        <v>0</v>
      </c>
      <c r="J46" s="712"/>
      <c r="K46" s="713" t="str">
        <f t="shared" si="0"/>
        <v xml:space="preserve"> </v>
      </c>
      <c r="L46" s="714"/>
      <c r="M46" s="715"/>
    </row>
    <row r="47" spans="1:13" x14ac:dyDescent="0.3">
      <c r="A47" s="716">
        <f>'Equitable Share'!$A47</f>
        <v>0</v>
      </c>
      <c r="B47" s="717"/>
      <c r="C47" s="718"/>
      <c r="D47" s="459" t="str">
        <f>'Equitable Share'!D47</f>
        <v xml:space="preserve"> </v>
      </c>
      <c r="E47" s="459"/>
      <c r="F47" s="459"/>
      <c r="G47" s="459"/>
      <c r="H47" s="459"/>
      <c r="I47" s="719">
        <f>'Equitable Share'!I47</f>
        <v>0</v>
      </c>
      <c r="J47" s="719"/>
      <c r="K47" s="720" t="str">
        <f t="shared" si="0"/>
        <v xml:space="preserve"> </v>
      </c>
      <c r="L47" s="721"/>
      <c r="M47" s="722"/>
    </row>
    <row r="48" spans="1:13" x14ac:dyDescent="0.3">
      <c r="A48" s="711">
        <f>'Equitable Share'!$A48</f>
        <v>0</v>
      </c>
      <c r="B48" s="711"/>
      <c r="C48" s="711"/>
      <c r="D48" s="460" t="str">
        <f>'Equitable Share'!D48</f>
        <v xml:space="preserve"> </v>
      </c>
      <c r="E48" s="460"/>
      <c r="F48" s="460"/>
      <c r="G48" s="460"/>
      <c r="H48" s="460"/>
      <c r="I48" s="712">
        <f>'Equitable Share'!I48</f>
        <v>0</v>
      </c>
      <c r="J48" s="712"/>
      <c r="K48" s="713" t="str">
        <f t="shared" si="0"/>
        <v xml:space="preserve"> </v>
      </c>
      <c r="L48" s="714"/>
      <c r="M48" s="715"/>
    </row>
    <row r="49" spans="1:15" x14ac:dyDescent="0.3">
      <c r="A49" s="716">
        <f>'Equitable Share'!$A49</f>
        <v>0</v>
      </c>
      <c r="B49" s="717"/>
      <c r="C49" s="718"/>
      <c r="D49" s="459" t="str">
        <f>'Equitable Share'!D49</f>
        <v xml:space="preserve"> </v>
      </c>
      <c r="E49" s="459"/>
      <c r="F49" s="459"/>
      <c r="G49" s="459"/>
      <c r="H49" s="459"/>
      <c r="I49" s="719">
        <f>'Equitable Share'!I49</f>
        <v>0</v>
      </c>
      <c r="J49" s="719"/>
      <c r="K49" s="720" t="str">
        <f t="shared" si="0"/>
        <v xml:space="preserve"> </v>
      </c>
      <c r="L49" s="721"/>
      <c r="M49" s="722"/>
    </row>
    <row r="50" spans="1:15" x14ac:dyDescent="0.3">
      <c r="A50" s="711">
        <f>'Equitable Share'!$A50</f>
        <v>0</v>
      </c>
      <c r="B50" s="711"/>
      <c r="C50" s="711"/>
      <c r="D50" s="460" t="str">
        <f>'Equitable Share'!D50</f>
        <v xml:space="preserve"> </v>
      </c>
      <c r="E50" s="460"/>
      <c r="F50" s="460"/>
      <c r="G50" s="460"/>
      <c r="H50" s="460"/>
      <c r="I50" s="712">
        <f>'Equitable Share'!I50</f>
        <v>0</v>
      </c>
      <c r="J50" s="712"/>
      <c r="K50" s="713" t="str">
        <f t="shared" si="0"/>
        <v xml:space="preserve"> </v>
      </c>
      <c r="L50" s="714"/>
      <c r="M50" s="715"/>
    </row>
    <row r="51" spans="1:15" x14ac:dyDescent="0.3">
      <c r="A51" s="716">
        <f>'Equitable Share'!$A51</f>
        <v>0</v>
      </c>
      <c r="B51" s="717"/>
      <c r="C51" s="718"/>
      <c r="D51" s="459" t="str">
        <f>'Equitable Share'!D51</f>
        <v xml:space="preserve"> </v>
      </c>
      <c r="E51" s="459"/>
      <c r="F51" s="459"/>
      <c r="G51" s="459"/>
      <c r="H51" s="459"/>
      <c r="I51" s="719">
        <f>'Equitable Share'!I51</f>
        <v>0</v>
      </c>
      <c r="J51" s="719"/>
      <c r="K51" s="720" t="str">
        <f t="shared" si="0"/>
        <v xml:space="preserve"> </v>
      </c>
      <c r="L51" s="721"/>
      <c r="M51" s="722"/>
    </row>
    <row r="52" spans="1:15" x14ac:dyDescent="0.3">
      <c r="A52" s="711">
        <f>'Equitable Share'!$A52</f>
        <v>0</v>
      </c>
      <c r="B52" s="711"/>
      <c r="C52" s="711"/>
      <c r="D52" s="460" t="str">
        <f>'Equitable Share'!D52</f>
        <v xml:space="preserve"> </v>
      </c>
      <c r="E52" s="460"/>
      <c r="F52" s="460"/>
      <c r="G52" s="460"/>
      <c r="H52" s="460"/>
      <c r="I52" s="712">
        <f>'Equitable Share'!I52</f>
        <v>0</v>
      </c>
      <c r="J52" s="712"/>
      <c r="K52" s="713" t="str">
        <f t="shared" si="0"/>
        <v xml:space="preserve"> </v>
      </c>
      <c r="L52" s="714"/>
      <c r="M52" s="715"/>
    </row>
    <row r="53" spans="1:15" x14ac:dyDescent="0.3">
      <c r="A53" s="716">
        <f>'Equitable Share'!$A53</f>
        <v>0</v>
      </c>
      <c r="B53" s="717"/>
      <c r="C53" s="718"/>
      <c r="D53" s="459" t="str">
        <f>'Equitable Share'!D53</f>
        <v xml:space="preserve"> </v>
      </c>
      <c r="E53" s="459"/>
      <c r="F53" s="459"/>
      <c r="G53" s="459"/>
      <c r="H53" s="459"/>
      <c r="I53" s="719">
        <f>'Equitable Share'!I53</f>
        <v>0</v>
      </c>
      <c r="J53" s="719"/>
      <c r="K53" s="720" t="str">
        <f t="shared" si="0"/>
        <v xml:space="preserve"> </v>
      </c>
      <c r="L53" s="721"/>
      <c r="M53" s="722"/>
    </row>
    <row r="54" spans="1:15" x14ac:dyDescent="0.3">
      <c r="A54" s="711">
        <f>'Equitable Share'!$A54</f>
        <v>0</v>
      </c>
      <c r="B54" s="711"/>
      <c r="C54" s="711"/>
      <c r="D54" s="460" t="str">
        <f>'Equitable Share'!D54</f>
        <v xml:space="preserve"> </v>
      </c>
      <c r="E54" s="460"/>
      <c r="F54" s="460"/>
      <c r="G54" s="460"/>
      <c r="H54" s="460"/>
      <c r="I54" s="712">
        <f>'Equitable Share'!I54</f>
        <v>0</v>
      </c>
      <c r="J54" s="712"/>
      <c r="K54" s="713" t="str">
        <f t="shared" si="0"/>
        <v xml:space="preserve"> </v>
      </c>
      <c r="L54" s="714"/>
      <c r="M54" s="715"/>
    </row>
    <row r="55" spans="1:15" x14ac:dyDescent="0.3">
      <c r="A55" s="716">
        <f>'Equitable Share'!$A55</f>
        <v>0</v>
      </c>
      <c r="B55" s="717"/>
      <c r="C55" s="718"/>
      <c r="D55" s="459" t="str">
        <f>'Equitable Share'!D55</f>
        <v xml:space="preserve"> </v>
      </c>
      <c r="E55" s="459"/>
      <c r="F55" s="459"/>
      <c r="G55" s="459"/>
      <c r="H55" s="459"/>
      <c r="I55" s="719">
        <f>'Equitable Share'!I55</f>
        <v>0</v>
      </c>
      <c r="J55" s="719"/>
      <c r="K55" s="720" t="str">
        <f t="shared" si="0"/>
        <v xml:space="preserve"> </v>
      </c>
      <c r="L55" s="721"/>
      <c r="M55" s="722"/>
    </row>
    <row r="56" spans="1:15" x14ac:dyDescent="0.3">
      <c r="A56" s="710"/>
      <c r="B56" s="710"/>
      <c r="C56" s="710"/>
      <c r="D56" s="710"/>
      <c r="E56" s="710"/>
      <c r="F56" s="710"/>
      <c r="G56" s="710"/>
      <c r="H56" s="710"/>
      <c r="I56" s="459">
        <f>SUM(I12:J55)</f>
        <v>0</v>
      </c>
      <c r="J56" s="459"/>
      <c r="K56" s="709" t="str">
        <f t="shared" si="0"/>
        <v xml:space="preserve"> </v>
      </c>
      <c r="L56" s="709"/>
      <c r="M56" s="709"/>
      <c r="O56" s="61"/>
    </row>
    <row r="57" spans="1:15" x14ac:dyDescent="0.3">
      <c r="A57" s="60"/>
      <c r="B57" s="30"/>
      <c r="C57" s="30"/>
      <c r="D57" s="30"/>
      <c r="E57" s="30"/>
      <c r="F57" s="30"/>
      <c r="G57" s="30"/>
      <c r="H57" s="30"/>
      <c r="I57" s="475" t="s">
        <v>108</v>
      </c>
      <c r="J57" s="475"/>
      <c r="K57" s="475" t="s">
        <v>109</v>
      </c>
      <c r="L57" s="475"/>
      <c r="M57" s="476"/>
    </row>
    <row r="58" spans="1:15" ht="15" thickBot="1" x14ac:dyDescent="0.35">
      <c r="A58" s="62"/>
      <c r="B58" s="63"/>
      <c r="C58" s="63"/>
      <c r="D58" s="63"/>
      <c r="E58" s="63"/>
      <c r="F58" s="63"/>
      <c r="G58" s="63"/>
      <c r="H58" s="63"/>
      <c r="I58" s="63"/>
      <c r="J58" s="63"/>
      <c r="K58" s="63"/>
      <c r="L58" s="63"/>
      <c r="M58" s="64"/>
    </row>
  </sheetData>
  <sheetProtection algorithmName="SHA-512" hashValue="/OWrhbGKyYGDS9MK4bDjVgVjUGhEq5EWTDYOXOYWyzuBz290VMaK4wkn18nG7ZBpMP7RG13+rR6+whdNh4qLZw==" saltValue="6XNCbeqGIkODEq72gX90Yg==" spinCount="100000" sheet="1" objects="1" scenarios="1" selectLockedCells="1"/>
  <mergeCells count="199">
    <mergeCell ref="A1:M1"/>
    <mergeCell ref="A2:M2"/>
    <mergeCell ref="C4:D4"/>
    <mergeCell ref="F4:H4"/>
    <mergeCell ref="J4:L4"/>
    <mergeCell ref="C5:D5"/>
    <mergeCell ref="F5:I5"/>
    <mergeCell ref="J5:L5"/>
    <mergeCell ref="A12:C12"/>
    <mergeCell ref="D12:H12"/>
    <mergeCell ref="I12:J12"/>
    <mergeCell ref="K12:M12"/>
    <mergeCell ref="A13:C13"/>
    <mergeCell ref="D13:H13"/>
    <mergeCell ref="I13:J13"/>
    <mergeCell ref="K13:M13"/>
    <mergeCell ref="C7:D7"/>
    <mergeCell ref="F7:H7"/>
    <mergeCell ref="J7:L7"/>
    <mergeCell ref="C8:D8"/>
    <mergeCell ref="J8:L8"/>
    <mergeCell ref="A11:C11"/>
    <mergeCell ref="D11:H11"/>
    <mergeCell ref="I11:J11"/>
    <mergeCell ref="K11:M11"/>
    <mergeCell ref="A16:C16"/>
    <mergeCell ref="D16:H16"/>
    <mergeCell ref="I16:J16"/>
    <mergeCell ref="K16:M16"/>
    <mergeCell ref="A17:C17"/>
    <mergeCell ref="D17:H17"/>
    <mergeCell ref="I17:J17"/>
    <mergeCell ref="K17:M17"/>
    <mergeCell ref="A14:C14"/>
    <mergeCell ref="D14:H14"/>
    <mergeCell ref="I14:J14"/>
    <mergeCell ref="K14:M14"/>
    <mergeCell ref="A15:C15"/>
    <mergeCell ref="D15:H15"/>
    <mergeCell ref="I15:J15"/>
    <mergeCell ref="K15:M15"/>
    <mergeCell ref="A20:C20"/>
    <mergeCell ref="D20:H20"/>
    <mergeCell ref="I20:J20"/>
    <mergeCell ref="K20:M20"/>
    <mergeCell ref="A21:C21"/>
    <mergeCell ref="D21:H21"/>
    <mergeCell ref="I21:J21"/>
    <mergeCell ref="K21:M21"/>
    <mergeCell ref="A18:C18"/>
    <mergeCell ref="D18:H18"/>
    <mergeCell ref="I18:J18"/>
    <mergeCell ref="K18:M18"/>
    <mergeCell ref="A19:C19"/>
    <mergeCell ref="D19:H19"/>
    <mergeCell ref="I19:J19"/>
    <mergeCell ref="K19:M19"/>
    <mergeCell ref="A24:C24"/>
    <mergeCell ref="D24:H24"/>
    <mergeCell ref="I24:J24"/>
    <mergeCell ref="K24:M24"/>
    <mergeCell ref="A25:C25"/>
    <mergeCell ref="D25:H25"/>
    <mergeCell ref="I25:J25"/>
    <mergeCell ref="K25:M25"/>
    <mergeCell ref="A22:C22"/>
    <mergeCell ref="D22:H22"/>
    <mergeCell ref="I22:J22"/>
    <mergeCell ref="K22:M22"/>
    <mergeCell ref="A23:C23"/>
    <mergeCell ref="D23:H23"/>
    <mergeCell ref="I23:J23"/>
    <mergeCell ref="K23:M23"/>
    <mergeCell ref="A28:C28"/>
    <mergeCell ref="D28:H28"/>
    <mergeCell ref="I28:J28"/>
    <mergeCell ref="K28:M28"/>
    <mergeCell ref="A29:C29"/>
    <mergeCell ref="D29:H29"/>
    <mergeCell ref="I29:J29"/>
    <mergeCell ref="K29:M29"/>
    <mergeCell ref="A26:C26"/>
    <mergeCell ref="D26:H26"/>
    <mergeCell ref="I26:J26"/>
    <mergeCell ref="K26:M26"/>
    <mergeCell ref="A27:C27"/>
    <mergeCell ref="D27:H27"/>
    <mergeCell ref="I27:J27"/>
    <mergeCell ref="K27:M27"/>
    <mergeCell ref="A32:C32"/>
    <mergeCell ref="D32:H32"/>
    <mergeCell ref="I32:J32"/>
    <mergeCell ref="K32:M32"/>
    <mergeCell ref="A33:C33"/>
    <mergeCell ref="D33:H33"/>
    <mergeCell ref="I33:J33"/>
    <mergeCell ref="K33:M33"/>
    <mergeCell ref="A30:C30"/>
    <mergeCell ref="D30:H30"/>
    <mergeCell ref="I30:J30"/>
    <mergeCell ref="K30:M30"/>
    <mergeCell ref="A31:C31"/>
    <mergeCell ref="D31:H31"/>
    <mergeCell ref="I31:J31"/>
    <mergeCell ref="K31:M31"/>
    <mergeCell ref="A36:C36"/>
    <mergeCell ref="D36:H36"/>
    <mergeCell ref="I36:J36"/>
    <mergeCell ref="K36:M36"/>
    <mergeCell ref="A37:C37"/>
    <mergeCell ref="D37:H37"/>
    <mergeCell ref="I37:J37"/>
    <mergeCell ref="K37:M37"/>
    <mergeCell ref="A34:C34"/>
    <mergeCell ref="D34:H34"/>
    <mergeCell ref="I34:J34"/>
    <mergeCell ref="K34:M34"/>
    <mergeCell ref="A35:C35"/>
    <mergeCell ref="D35:H35"/>
    <mergeCell ref="I35:J35"/>
    <mergeCell ref="K35:M35"/>
    <mergeCell ref="A40:C40"/>
    <mergeCell ref="D40:H40"/>
    <mergeCell ref="I40:J40"/>
    <mergeCell ref="K40:M40"/>
    <mergeCell ref="A41:C41"/>
    <mergeCell ref="D41:H41"/>
    <mergeCell ref="I41:J41"/>
    <mergeCell ref="K41:M41"/>
    <mergeCell ref="A38:C38"/>
    <mergeCell ref="D38:H38"/>
    <mergeCell ref="I38:J38"/>
    <mergeCell ref="K38:M38"/>
    <mergeCell ref="A39:C39"/>
    <mergeCell ref="D39:H39"/>
    <mergeCell ref="I39:J39"/>
    <mergeCell ref="K39:M39"/>
    <mergeCell ref="A44:C44"/>
    <mergeCell ref="D44:H44"/>
    <mergeCell ref="I44:J44"/>
    <mergeCell ref="K44:M44"/>
    <mergeCell ref="A45:C45"/>
    <mergeCell ref="D45:H45"/>
    <mergeCell ref="I45:J45"/>
    <mergeCell ref="K45:M45"/>
    <mergeCell ref="A42:C42"/>
    <mergeCell ref="D42:H42"/>
    <mergeCell ref="I42:J42"/>
    <mergeCell ref="K42:M42"/>
    <mergeCell ref="A43:C43"/>
    <mergeCell ref="D43:H43"/>
    <mergeCell ref="I43:J43"/>
    <mergeCell ref="K43:M43"/>
    <mergeCell ref="A48:C48"/>
    <mergeCell ref="D48:H48"/>
    <mergeCell ref="I48:J48"/>
    <mergeCell ref="K48:M48"/>
    <mergeCell ref="A49:C49"/>
    <mergeCell ref="D49:H49"/>
    <mergeCell ref="I49:J49"/>
    <mergeCell ref="K49:M49"/>
    <mergeCell ref="A46:C46"/>
    <mergeCell ref="D46:H46"/>
    <mergeCell ref="I46:J46"/>
    <mergeCell ref="K46:M46"/>
    <mergeCell ref="A47:C47"/>
    <mergeCell ref="D47:H47"/>
    <mergeCell ref="I47:J47"/>
    <mergeCell ref="K47:M47"/>
    <mergeCell ref="A52:C52"/>
    <mergeCell ref="D52:H52"/>
    <mergeCell ref="I52:J52"/>
    <mergeCell ref="K52:M52"/>
    <mergeCell ref="A53:C53"/>
    <mergeCell ref="D53:H53"/>
    <mergeCell ref="I53:J53"/>
    <mergeCell ref="K53:M53"/>
    <mergeCell ref="A50:C50"/>
    <mergeCell ref="D50:H50"/>
    <mergeCell ref="I50:J50"/>
    <mergeCell ref="K50:M50"/>
    <mergeCell ref="A51:C51"/>
    <mergeCell ref="D51:H51"/>
    <mergeCell ref="I51:J51"/>
    <mergeCell ref="K51:M51"/>
    <mergeCell ref="I56:J56"/>
    <mergeCell ref="K56:M56"/>
    <mergeCell ref="I57:J57"/>
    <mergeCell ref="K57:M57"/>
    <mergeCell ref="A56:C56"/>
    <mergeCell ref="D56:H56"/>
    <mergeCell ref="A54:C54"/>
    <mergeCell ref="D54:H54"/>
    <mergeCell ref="I54:J54"/>
    <mergeCell ref="K54:M54"/>
    <mergeCell ref="A55:C55"/>
    <mergeCell ref="D55:H55"/>
    <mergeCell ref="I55:J55"/>
    <mergeCell ref="K55:M55"/>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1CD6E-C533-4E1C-82C3-7A2AF654898B}">
  <sheetPr codeName="Sheet12">
    <tabColor theme="5" tint="-0.249977111117893"/>
  </sheetPr>
  <dimension ref="A1:L114"/>
  <sheetViews>
    <sheetView showGridLines="0" zoomScaleNormal="100" workbookViewId="0">
      <selection activeCell="C4" sqref="C4:D4"/>
    </sheetView>
  </sheetViews>
  <sheetFormatPr defaultColWidth="8.88671875" defaultRowHeight="14.4" x14ac:dyDescent="0.3"/>
  <cols>
    <col min="1" max="1" width="42.6640625" style="14" customWidth="1"/>
    <col min="2" max="2" width="52.6640625" style="14" customWidth="1"/>
    <col min="3" max="3" width="29.5546875" style="14" customWidth="1"/>
    <col min="4" max="4" width="16.44140625" style="14" customWidth="1"/>
    <col min="5" max="6" width="2.109375" style="14" customWidth="1"/>
    <col min="7" max="7" width="46.5546875" style="14" customWidth="1"/>
    <col min="8" max="8" width="15.21875" style="14" customWidth="1"/>
    <col min="9" max="16384" width="8.88671875" style="14"/>
  </cols>
  <sheetData>
    <row r="1" spans="1:12" ht="43.2" customHeight="1" x14ac:dyDescent="0.3">
      <c r="A1" s="725" t="s">
        <v>418</v>
      </c>
      <c r="B1" s="726"/>
      <c r="C1" s="726"/>
      <c r="D1" s="726"/>
      <c r="E1" s="726"/>
      <c r="F1" s="726"/>
      <c r="G1" s="726"/>
      <c r="H1" s="727"/>
    </row>
    <row r="2" spans="1:12" ht="14.4" customHeight="1" x14ac:dyDescent="0.3">
      <c r="A2" s="544" t="s">
        <v>2026</v>
      </c>
      <c r="B2" s="544"/>
      <c r="C2" s="544"/>
      <c r="D2" s="544"/>
      <c r="E2" s="544"/>
      <c r="F2" s="544"/>
      <c r="G2" s="544"/>
      <c r="H2" s="544"/>
    </row>
    <row r="3" spans="1:12" s="41" customFormat="1" ht="26.4" customHeight="1" thickBot="1" x14ac:dyDescent="0.35">
      <c r="A3" s="545"/>
      <c r="B3" s="545"/>
      <c r="C3" s="545"/>
      <c r="D3" s="545"/>
      <c r="E3" s="545"/>
      <c r="F3" s="545"/>
      <c r="G3" s="545"/>
      <c r="H3" s="545"/>
    </row>
    <row r="4" spans="1:12" s="41" customFormat="1" ht="14.4" customHeight="1" thickBot="1" x14ac:dyDescent="0.4">
      <c r="A4" s="69" t="s">
        <v>1968</v>
      </c>
      <c r="B4" s="69" t="s">
        <v>32</v>
      </c>
      <c r="C4" s="224" t="s">
        <v>33</v>
      </c>
      <c r="D4" s="69" t="s">
        <v>34</v>
      </c>
      <c r="E4" s="45"/>
      <c r="F4" s="45"/>
      <c r="G4" s="45"/>
      <c r="H4" s="45"/>
      <c r="I4" s="45"/>
      <c r="J4" s="45"/>
      <c r="K4" s="45"/>
      <c r="L4" s="45"/>
    </row>
    <row r="5" spans="1:12" ht="14.4" customHeight="1" x14ac:dyDescent="0.35">
      <c r="A5" s="31" t="s">
        <v>2025</v>
      </c>
      <c r="B5" s="31" t="s">
        <v>1998</v>
      </c>
      <c r="C5" s="31" t="s">
        <v>48</v>
      </c>
      <c r="D5" s="206" t="s">
        <v>76</v>
      </c>
      <c r="G5" s="6" t="s">
        <v>66</v>
      </c>
      <c r="H5" s="7" t="s">
        <v>34</v>
      </c>
    </row>
    <row r="6" spans="1:12" ht="14.4" customHeight="1" x14ac:dyDescent="0.3">
      <c r="A6" s="240"/>
      <c r="B6" s="240"/>
      <c r="C6" s="240"/>
      <c r="D6" s="241"/>
      <c r="G6" s="8" t="s">
        <v>81</v>
      </c>
      <c r="H6" s="9">
        <f>SUMIF($C$6:$C$111,"Instruction: Salary (Cert./Non Cert.)", $D$6:$D$111)</f>
        <v>0</v>
      </c>
    </row>
    <row r="7" spans="1:12" ht="14.4" customHeight="1" x14ac:dyDescent="0.3">
      <c r="A7" s="242"/>
      <c r="B7" s="242"/>
      <c r="C7" s="242"/>
      <c r="D7" s="243"/>
      <c r="G7" s="8" t="s">
        <v>82</v>
      </c>
      <c r="H7" s="9">
        <f>SUMIF($C$6:$C$111,"Instruction: Benefits (Cert./Non Cert.)", $D$6:$D$111)</f>
        <v>0</v>
      </c>
    </row>
    <row r="8" spans="1:12" ht="14.4" customHeight="1" x14ac:dyDescent="0.3">
      <c r="A8" s="57"/>
      <c r="B8" s="57"/>
      <c r="C8" s="57"/>
      <c r="D8" s="67"/>
      <c r="G8" s="10" t="s">
        <v>35</v>
      </c>
      <c r="H8" s="9">
        <f>SUMIF($C$6:$C$111,"Instruction: Professional Services", $D$6:$D$111)</f>
        <v>0</v>
      </c>
    </row>
    <row r="9" spans="1:12" ht="14.4" customHeight="1" x14ac:dyDescent="0.3">
      <c r="A9" s="55"/>
      <c r="B9" s="55"/>
      <c r="C9" s="55"/>
      <c r="D9" s="68"/>
      <c r="G9" s="10" t="s">
        <v>36</v>
      </c>
      <c r="H9" s="9">
        <f>SUMIF($C$6:$C$111,"Instruction: Rentals", $D$6:$D$111)</f>
        <v>0</v>
      </c>
    </row>
    <row r="10" spans="1:12" ht="14.4" customHeight="1" x14ac:dyDescent="0.3">
      <c r="A10" s="57"/>
      <c r="B10" s="57"/>
      <c r="C10" s="57"/>
      <c r="D10" s="67"/>
      <c r="G10" s="10" t="s">
        <v>37</v>
      </c>
      <c r="H10" s="9">
        <f>SUMIF($C$6:$C$111,"Instruction: Other Purchased Services", $D$6:$D$111)</f>
        <v>0</v>
      </c>
    </row>
    <row r="11" spans="1:12" ht="14.4" customHeight="1" x14ac:dyDescent="0.3">
      <c r="A11" s="55"/>
      <c r="B11" s="55"/>
      <c r="C11" s="55"/>
      <c r="D11" s="68"/>
      <c r="G11" s="10" t="s">
        <v>38</v>
      </c>
      <c r="H11" s="9">
        <f>SUMIF($C$6:$C$111,"Instruction: General Supplies", $D$6:$D$111)</f>
        <v>0</v>
      </c>
    </row>
    <row r="12" spans="1:12" ht="14.4" customHeight="1" x14ac:dyDescent="0.3">
      <c r="A12" s="57"/>
      <c r="B12" s="57"/>
      <c r="C12" s="57"/>
      <c r="D12" s="67"/>
      <c r="G12" s="10" t="s">
        <v>39</v>
      </c>
      <c r="H12" s="9">
        <f>SUMIF($C$6:$C$111,"Instruction: Property", $D$6:$D$111)</f>
        <v>0</v>
      </c>
    </row>
    <row r="13" spans="1:12" ht="14.4" customHeight="1" x14ac:dyDescent="0.3">
      <c r="A13" s="55"/>
      <c r="B13" s="55"/>
      <c r="C13" s="55"/>
      <c r="D13" s="68"/>
      <c r="G13" s="10"/>
      <c r="H13" s="9"/>
    </row>
    <row r="14" spans="1:12" ht="14.4" customHeight="1" x14ac:dyDescent="0.3">
      <c r="A14" s="57"/>
      <c r="B14" s="57"/>
      <c r="C14" s="57"/>
      <c r="D14" s="67"/>
      <c r="G14" s="8" t="s">
        <v>83</v>
      </c>
      <c r="H14" s="9">
        <f>SUMIF($C$6:$C$111,"Support Services (Student): Salary (Cert./Non Cert.)", $D$6:$D$111)</f>
        <v>0</v>
      </c>
    </row>
    <row r="15" spans="1:12" ht="14.4" customHeight="1" x14ac:dyDescent="0.3">
      <c r="A15" s="55"/>
      <c r="B15" s="55"/>
      <c r="C15" s="55"/>
      <c r="D15" s="68"/>
      <c r="G15" s="8" t="s">
        <v>84</v>
      </c>
      <c r="H15" s="9">
        <f>SUMIF($C$6:$C$111,"Support Services (Student): Benefits (Cert./Non Cert.)", $D$6:$D$111)</f>
        <v>0</v>
      </c>
    </row>
    <row r="16" spans="1:12" ht="14.4" customHeight="1" x14ac:dyDescent="0.3">
      <c r="A16" s="57"/>
      <c r="B16" s="57"/>
      <c r="C16" s="57"/>
      <c r="D16" s="67"/>
      <c r="G16" s="10" t="s">
        <v>40</v>
      </c>
      <c r="H16" s="9">
        <f>SUMIF($C$6:$C$111,"Support Services (Student): Professional Services", $D$6:$D$111)</f>
        <v>0</v>
      </c>
    </row>
    <row r="17" spans="1:8" ht="14.4" customHeight="1" x14ac:dyDescent="0.3">
      <c r="A17" s="55"/>
      <c r="B17" s="55"/>
      <c r="C17" s="55"/>
      <c r="D17" s="68"/>
      <c r="G17" s="10" t="s">
        <v>41</v>
      </c>
      <c r="H17" s="9">
        <f>SUMIF($C$6:$C$111,"Support Services (Student): Rentals", $D$6:$D$111)</f>
        <v>0</v>
      </c>
    </row>
    <row r="18" spans="1:8" ht="14.4" customHeight="1" x14ac:dyDescent="0.3">
      <c r="A18" s="57"/>
      <c r="B18" s="57"/>
      <c r="C18" s="57"/>
      <c r="D18" s="67"/>
      <c r="G18" s="10" t="s">
        <v>42</v>
      </c>
      <c r="H18" s="9">
        <f>SUMIF($C$6:$C$111,"Support Services (Student): Other Purchased Services", $D$6:$D$111)</f>
        <v>0</v>
      </c>
    </row>
    <row r="19" spans="1:8" ht="14.4" customHeight="1" x14ac:dyDescent="0.3">
      <c r="A19" s="55"/>
      <c r="B19" s="55"/>
      <c r="C19" s="55"/>
      <c r="D19" s="68"/>
      <c r="G19" s="10" t="s">
        <v>43</v>
      </c>
      <c r="H19" s="9">
        <f>SUMIF($C$6:$C$111,"Support Services (Student): General Supplies", $D$6:$D$111)</f>
        <v>0</v>
      </c>
    </row>
    <row r="20" spans="1:8" ht="14.4" customHeight="1" x14ac:dyDescent="0.3">
      <c r="A20" s="57"/>
      <c r="B20" s="57"/>
      <c r="C20" s="57"/>
      <c r="D20" s="67"/>
      <c r="G20" s="10" t="s">
        <v>44</v>
      </c>
      <c r="H20" s="9">
        <f>SUMIF($C$6:$C$111,"Support Services (Student): Property", $D$6:$D$111)</f>
        <v>0</v>
      </c>
    </row>
    <row r="21" spans="1:8" ht="14.4" customHeight="1" x14ac:dyDescent="0.3">
      <c r="A21" s="55"/>
      <c r="B21" s="55"/>
      <c r="C21" s="55"/>
      <c r="D21" s="68"/>
      <c r="G21" s="10"/>
      <c r="H21" s="9"/>
    </row>
    <row r="22" spans="1:8" ht="14.4" customHeight="1" x14ac:dyDescent="0.3">
      <c r="A22" s="57"/>
      <c r="B22" s="57"/>
      <c r="C22" s="57"/>
      <c r="D22" s="67"/>
      <c r="G22" s="8" t="s">
        <v>85</v>
      </c>
      <c r="H22" s="9">
        <f>SUMIF($C$6:$C$111,"Improvement of Instruction: Salary (Cert./Non Cert.)", $D$6:$D$111)</f>
        <v>0</v>
      </c>
    </row>
    <row r="23" spans="1:8" ht="14.4" customHeight="1" x14ac:dyDescent="0.3">
      <c r="A23" s="55"/>
      <c r="B23" s="55"/>
      <c r="C23" s="55"/>
      <c r="D23" s="68"/>
      <c r="G23" s="8" t="s">
        <v>86</v>
      </c>
      <c r="H23" s="9">
        <f>SUMIF($C$6:$C$111,"Improvement of Instruction: Benefits (Cert./Non Cert.)", $D$6:$D$111)</f>
        <v>0</v>
      </c>
    </row>
    <row r="24" spans="1:8" ht="14.4" customHeight="1" x14ac:dyDescent="0.3">
      <c r="A24" s="57"/>
      <c r="B24" s="57"/>
      <c r="C24" s="57"/>
      <c r="D24" s="67"/>
      <c r="G24" s="10" t="s">
        <v>45</v>
      </c>
      <c r="H24" s="9">
        <f>SUMIF($C$6:$C$111,"Improvement of Instruction: Professional Services", $D$6:$D$111)</f>
        <v>0</v>
      </c>
    </row>
    <row r="25" spans="1:8" ht="14.4" customHeight="1" x14ac:dyDescent="0.3">
      <c r="A25" s="55"/>
      <c r="B25" s="55"/>
      <c r="C25" s="55"/>
      <c r="D25" s="68"/>
      <c r="G25" s="10" t="s">
        <v>46</v>
      </c>
      <c r="H25" s="9">
        <f>SUMIF($C$6:$C$111,"Improvement of Instruction: Rentals", $D$6:$D$111)</f>
        <v>0</v>
      </c>
    </row>
    <row r="26" spans="1:8" ht="14.4" customHeight="1" x14ac:dyDescent="0.3">
      <c r="A26" s="57"/>
      <c r="B26" s="57"/>
      <c r="C26" s="57"/>
      <c r="D26" s="67"/>
      <c r="G26" s="10" t="s">
        <v>47</v>
      </c>
      <c r="H26" s="9">
        <f>SUMIF($C$6:$C$111,"Improvement of Instruction: Other Purchased Services", $D$6:$D$111)</f>
        <v>0</v>
      </c>
    </row>
    <row r="27" spans="1:8" ht="14.4" customHeight="1" x14ac:dyDescent="0.3">
      <c r="A27" s="55"/>
      <c r="B27" s="55"/>
      <c r="C27" s="55"/>
      <c r="D27" s="68"/>
      <c r="G27" s="10" t="s">
        <v>48</v>
      </c>
      <c r="H27" s="9">
        <f>SUMIF($C$6:$C$111,"Improvement of Instruction: General Supplies", $D$6:$D$111)</f>
        <v>0</v>
      </c>
    </row>
    <row r="28" spans="1:8" ht="14.4" customHeight="1" x14ac:dyDescent="0.3">
      <c r="A28" s="57"/>
      <c r="B28" s="57"/>
      <c r="C28" s="57"/>
      <c r="D28" s="67"/>
      <c r="G28" s="10" t="s">
        <v>49</v>
      </c>
      <c r="H28" s="9">
        <f>SUMIF($C$6:$C$111,"Improvement of Instruction: Property", $D$6:$D$111)</f>
        <v>0</v>
      </c>
    </row>
    <row r="29" spans="1:8" ht="14.4" customHeight="1" x14ac:dyDescent="0.3">
      <c r="A29" s="55"/>
      <c r="B29" s="55"/>
      <c r="C29" s="55"/>
      <c r="D29" s="68"/>
      <c r="G29" s="10"/>
      <c r="H29" s="9"/>
    </row>
    <row r="30" spans="1:8" ht="14.4" customHeight="1" x14ac:dyDescent="0.3">
      <c r="A30" s="57"/>
      <c r="B30" s="57"/>
      <c r="C30" s="57"/>
      <c r="D30" s="67"/>
      <c r="G30" s="8" t="s">
        <v>402</v>
      </c>
      <c r="H30" s="9">
        <f>SUMIF($C$6:$C$111,"Other Support Services-Admin: Salary (Cert./Non Cert.)", $D$6:$D$111)</f>
        <v>0</v>
      </c>
    </row>
    <row r="31" spans="1:8" ht="14.4" customHeight="1" x14ac:dyDescent="0.3">
      <c r="A31" s="55"/>
      <c r="B31" s="55"/>
      <c r="C31" s="55"/>
      <c r="D31" s="68"/>
      <c r="G31" s="8" t="s">
        <v>403</v>
      </c>
      <c r="H31" s="9">
        <f>SUMIF($C$6:$C$111,"Other Support Services-Admin: Benefits (Cert./Non Cert.)", $D$6:$D$111)</f>
        <v>0</v>
      </c>
    </row>
    <row r="32" spans="1:8" ht="14.4" customHeight="1" x14ac:dyDescent="0.3">
      <c r="A32" s="57"/>
      <c r="B32" s="57"/>
      <c r="C32" s="57"/>
      <c r="D32" s="67"/>
      <c r="G32" s="10" t="s">
        <v>404</v>
      </c>
      <c r="H32" s="9">
        <f>SUMIF($C$6:$C$111,"Other Support Services-Admin: Professional Services", $D$6:$D$111)</f>
        <v>0</v>
      </c>
    </row>
    <row r="33" spans="1:8" ht="14.4" customHeight="1" x14ac:dyDescent="0.3">
      <c r="A33" s="55"/>
      <c r="B33" s="55"/>
      <c r="C33" s="55"/>
      <c r="D33" s="68"/>
      <c r="G33" s="10" t="s">
        <v>405</v>
      </c>
      <c r="H33" s="9">
        <f>SUMIF($C$6:$C$111,"Other Support Services-Admin: Rentals", $D$6:$D$111)</f>
        <v>0</v>
      </c>
    </row>
    <row r="34" spans="1:8" ht="14.4" customHeight="1" x14ac:dyDescent="0.3">
      <c r="A34" s="57"/>
      <c r="B34" s="57"/>
      <c r="C34" s="57"/>
      <c r="D34" s="67"/>
      <c r="G34" s="10" t="s">
        <v>406</v>
      </c>
      <c r="H34" s="9">
        <f>SUMIF($C$6:$C$111,"Other Support Services-Admin: Other Purchased Services", $D$6:$D$111)</f>
        <v>0</v>
      </c>
    </row>
    <row r="35" spans="1:8" ht="14.4" customHeight="1" x14ac:dyDescent="0.3">
      <c r="A35" s="55"/>
      <c r="B35" s="55"/>
      <c r="C35" s="55"/>
      <c r="D35" s="68"/>
      <c r="G35" s="10" t="s">
        <v>407</v>
      </c>
      <c r="H35" s="9">
        <f>SUMIF($C$6:$C$111,"Other Support Services-Admin: General Supplies", $D$6:$D$111)</f>
        <v>0</v>
      </c>
    </row>
    <row r="36" spans="1:8" ht="14.4" customHeight="1" x14ac:dyDescent="0.3">
      <c r="A36" s="57"/>
      <c r="B36" s="57"/>
      <c r="C36" s="57"/>
      <c r="D36" s="67"/>
      <c r="G36" s="10" t="s">
        <v>408</v>
      </c>
      <c r="H36" s="9">
        <f>SUMIF($C$6:$C$111,"Other Support Services-Admin: Property", $D$6:$D$111)</f>
        <v>0</v>
      </c>
    </row>
    <row r="37" spans="1:8" ht="14.4" customHeight="1" x14ac:dyDescent="0.3">
      <c r="A37" s="55"/>
      <c r="B37" s="55"/>
      <c r="C37" s="55"/>
      <c r="D37" s="68"/>
      <c r="G37" s="10"/>
      <c r="H37" s="9"/>
    </row>
    <row r="38" spans="1:8" ht="14.4" customHeight="1" x14ac:dyDescent="0.3">
      <c r="A38" s="57"/>
      <c r="B38" s="57"/>
      <c r="C38" s="57"/>
      <c r="D38" s="67"/>
      <c r="G38" s="8" t="s">
        <v>87</v>
      </c>
      <c r="H38" s="9">
        <f>SUMIF($C$6:$C$111,"Operations and Maintenance: Salary (Cert./Non Cert.)", $D$6:$D$111)</f>
        <v>0</v>
      </c>
    </row>
    <row r="39" spans="1:8" ht="14.4" customHeight="1" x14ac:dyDescent="0.3">
      <c r="A39" s="55"/>
      <c r="B39" s="55"/>
      <c r="C39" s="55"/>
      <c r="D39" s="68"/>
      <c r="G39" s="8" t="s">
        <v>88</v>
      </c>
      <c r="H39" s="9">
        <f>SUMIF($C$6:$C$111,"Operations and Maintenance: Benefits (Cert./Non Cert.)", $D$6:$D$111)</f>
        <v>0</v>
      </c>
    </row>
    <row r="40" spans="1:8" ht="14.4" customHeight="1" x14ac:dyDescent="0.3">
      <c r="A40" s="57"/>
      <c r="B40" s="57"/>
      <c r="C40" s="57"/>
      <c r="D40" s="67"/>
      <c r="G40" s="10" t="s">
        <v>50</v>
      </c>
      <c r="H40" s="9">
        <f>SUMIF($C$6:$C$111,"Operations and Maintenance: Professional Services", $D$6:$D$111)</f>
        <v>0</v>
      </c>
    </row>
    <row r="41" spans="1:8" ht="14.4" customHeight="1" x14ac:dyDescent="0.3">
      <c r="A41" s="55"/>
      <c r="B41" s="55"/>
      <c r="C41" s="55"/>
      <c r="D41" s="68"/>
      <c r="G41" s="10" t="s">
        <v>51</v>
      </c>
      <c r="H41" s="9">
        <f>SUMIF($C$6:$C$111,"Operations and Maintenance: Rentals", $D$6:$D$111)</f>
        <v>0</v>
      </c>
    </row>
    <row r="42" spans="1:8" ht="14.4" customHeight="1" x14ac:dyDescent="0.3">
      <c r="A42" s="57"/>
      <c r="B42" s="57"/>
      <c r="C42" s="57"/>
      <c r="D42" s="67"/>
      <c r="G42" s="10" t="s">
        <v>52</v>
      </c>
      <c r="H42" s="9">
        <f>SUMIF($C$6:$C$111,"Operations and Maintenance: Other Purchased Services", $D$6:$D$111)</f>
        <v>0</v>
      </c>
    </row>
    <row r="43" spans="1:8" ht="14.4" customHeight="1" x14ac:dyDescent="0.3">
      <c r="A43" s="55"/>
      <c r="B43" s="55"/>
      <c r="C43" s="55"/>
      <c r="D43" s="68"/>
      <c r="G43" s="10" t="s">
        <v>53</v>
      </c>
      <c r="H43" s="9">
        <f>SUMIF($C$6:$C$111,"Operations and Maintenance: General Supplies", $D$6:$D$111)</f>
        <v>0</v>
      </c>
    </row>
    <row r="44" spans="1:8" ht="14.4" customHeight="1" x14ac:dyDescent="0.3">
      <c r="A44" s="57"/>
      <c r="B44" s="57"/>
      <c r="C44" s="57"/>
      <c r="D44" s="67"/>
      <c r="G44" s="10" t="s">
        <v>54</v>
      </c>
      <c r="H44" s="9">
        <f>SUMIF($C$6:$C$111,"Operations and Maintenance: Property", $D$6:$D$111)</f>
        <v>0</v>
      </c>
    </row>
    <row r="45" spans="1:8" ht="14.4" customHeight="1" x14ac:dyDescent="0.3">
      <c r="A45" s="55"/>
      <c r="B45" s="55"/>
      <c r="C45" s="55"/>
      <c r="D45" s="68"/>
      <c r="G45" s="10"/>
      <c r="H45" s="9"/>
    </row>
    <row r="46" spans="1:8" ht="14.4" customHeight="1" x14ac:dyDescent="0.3">
      <c r="A46" s="57"/>
      <c r="B46" s="57"/>
      <c r="C46" s="57"/>
      <c r="D46" s="67"/>
      <c r="G46" s="8" t="s">
        <v>89</v>
      </c>
      <c r="H46" s="9">
        <f>SUMIF($C$6:$C$111,"Transportation: Salary (Cert./Non Cert.)", $D$6:$D$111)</f>
        <v>0</v>
      </c>
    </row>
    <row r="47" spans="1:8" ht="14.4" customHeight="1" x14ac:dyDescent="0.3">
      <c r="A47" s="55"/>
      <c r="B47" s="55"/>
      <c r="C47" s="55"/>
      <c r="D47" s="68"/>
      <c r="G47" s="8" t="s">
        <v>90</v>
      </c>
      <c r="H47" s="9">
        <f>SUMIF($C$6:$C$111,"Transportation: Benefits (Cert./Non Cert.)", $D$6:$D$111)</f>
        <v>0</v>
      </c>
    </row>
    <row r="48" spans="1:8" ht="14.4" customHeight="1" x14ac:dyDescent="0.3">
      <c r="A48" s="57"/>
      <c r="B48" s="57"/>
      <c r="C48" s="57"/>
      <c r="D48" s="67"/>
      <c r="G48" s="10" t="s">
        <v>55</v>
      </c>
      <c r="H48" s="9">
        <f>SUMIF($C$6:$C$111,"Transportation: Professional Services", $D$6:$D$111)</f>
        <v>0</v>
      </c>
    </row>
    <row r="49" spans="1:9" ht="14.4" customHeight="1" x14ac:dyDescent="0.3">
      <c r="A49" s="55"/>
      <c r="B49" s="55"/>
      <c r="C49" s="55"/>
      <c r="D49" s="68"/>
      <c r="G49" s="10" t="s">
        <v>56</v>
      </c>
      <c r="H49" s="9">
        <f>SUMIF($C$6:$C$111,"Transportation: Rentals", $D$6:$D$111)</f>
        <v>0</v>
      </c>
    </row>
    <row r="50" spans="1:9" ht="14.4" customHeight="1" x14ac:dyDescent="0.3">
      <c r="A50" s="57"/>
      <c r="B50" s="57"/>
      <c r="C50" s="57"/>
      <c r="D50" s="67"/>
      <c r="G50" s="10" t="s">
        <v>57</v>
      </c>
      <c r="H50" s="9">
        <f>SUMIF($C$6:$C$111,"Transportation: Other Purchased Services", $D$6:$D$111)</f>
        <v>0</v>
      </c>
    </row>
    <row r="51" spans="1:9" ht="14.4" customHeight="1" x14ac:dyDescent="0.3">
      <c r="A51" s="55"/>
      <c r="B51" s="55"/>
      <c r="C51" s="55"/>
      <c r="D51" s="68"/>
      <c r="G51" s="10" t="s">
        <v>58</v>
      </c>
      <c r="H51" s="9">
        <f>SUMIF($C$6:$C$111,"Transportation: General Supplies", $D$6:$D$111)</f>
        <v>0</v>
      </c>
    </row>
    <row r="52" spans="1:9" ht="14.4" customHeight="1" x14ac:dyDescent="0.3">
      <c r="A52" s="57"/>
      <c r="B52" s="57"/>
      <c r="C52" s="57"/>
      <c r="D52" s="67"/>
      <c r="G52" s="10" t="s">
        <v>59</v>
      </c>
      <c r="H52" s="9">
        <f>SUMIF($C$6:$C$111,"Transportation: Property", $D$6:$D$111)</f>
        <v>0</v>
      </c>
    </row>
    <row r="53" spans="1:9" ht="14.4" customHeight="1" x14ac:dyDescent="0.3">
      <c r="A53" s="55"/>
      <c r="B53" s="55"/>
      <c r="C53" s="55"/>
      <c r="D53" s="68"/>
      <c r="G53" s="10"/>
      <c r="H53" s="9"/>
    </row>
    <row r="54" spans="1:9" ht="14.4" customHeight="1" x14ac:dyDescent="0.3">
      <c r="A54" s="57"/>
      <c r="B54" s="57"/>
      <c r="C54" s="57"/>
      <c r="D54" s="67"/>
      <c r="G54" s="8" t="s">
        <v>91</v>
      </c>
      <c r="H54" s="9">
        <f>SUMIF($C$6:$C$111,"Community Services Operations: Salary (Cert./Non Cert.)", $D$6:$D$111)</f>
        <v>0</v>
      </c>
    </row>
    <row r="55" spans="1:9" ht="14.4" customHeight="1" x14ac:dyDescent="0.3">
      <c r="A55" s="55"/>
      <c r="B55" s="55"/>
      <c r="C55" s="55"/>
      <c r="D55" s="68"/>
      <c r="G55" s="8" t="s">
        <v>92</v>
      </c>
      <c r="H55" s="9">
        <f>SUMIF($C$6:$C$111,"Community Services Operations: Benefits (Cert./Non Cert.)", $D$6:$D$111)</f>
        <v>0</v>
      </c>
    </row>
    <row r="56" spans="1:9" ht="14.4" customHeight="1" x14ac:dyDescent="0.3">
      <c r="A56" s="57"/>
      <c r="B56" s="57"/>
      <c r="C56" s="57"/>
      <c r="D56" s="67"/>
      <c r="G56" s="10" t="s">
        <v>60</v>
      </c>
      <c r="H56" s="9">
        <f>SUMIF($C$6:$C$111,"Community Services Operations: Professional Services", $D$6:$D$111)</f>
        <v>0</v>
      </c>
    </row>
    <row r="57" spans="1:9" ht="14.4" customHeight="1" x14ac:dyDescent="0.3">
      <c r="A57" s="55"/>
      <c r="B57" s="55"/>
      <c r="C57" s="55"/>
      <c r="D57" s="68"/>
      <c r="G57" s="10" t="s">
        <v>61</v>
      </c>
      <c r="H57" s="9">
        <f>SUMIF($C$6:$C$111,"Community Services Operations: Rentals", $D$6:$D$111)</f>
        <v>0</v>
      </c>
    </row>
    <row r="58" spans="1:9" ht="14.4" customHeight="1" x14ac:dyDescent="0.3">
      <c r="A58" s="57"/>
      <c r="B58" s="57"/>
      <c r="C58" s="57"/>
      <c r="D58" s="67"/>
      <c r="G58" s="10" t="s">
        <v>62</v>
      </c>
      <c r="H58" s="9">
        <f>SUMIF($C$6:$C$111,"Community Services Operations: Other Purchased Services", $D$6:$D$111)</f>
        <v>0</v>
      </c>
    </row>
    <row r="59" spans="1:9" ht="14.4" customHeight="1" x14ac:dyDescent="0.3">
      <c r="A59" s="55"/>
      <c r="B59" s="55"/>
      <c r="C59" s="55"/>
      <c r="D59" s="68"/>
      <c r="G59" s="10" t="s">
        <v>63</v>
      </c>
      <c r="H59" s="9">
        <f>SUMIF($C$6:$C$111,"Community Services Operations: General Supplies", $D$6:$D$111)</f>
        <v>0</v>
      </c>
    </row>
    <row r="60" spans="1:9" x14ac:dyDescent="0.3">
      <c r="A60" s="57"/>
      <c r="B60" s="57"/>
      <c r="C60" s="57"/>
      <c r="D60" s="67"/>
      <c r="G60" s="10" t="s">
        <v>64</v>
      </c>
      <c r="H60" s="9">
        <f>SUMIF($C$6:$C$111,"Community Services Operations: Property", $D$6:$D$111)</f>
        <v>0</v>
      </c>
    </row>
    <row r="61" spans="1:9" x14ac:dyDescent="0.3">
      <c r="A61" s="55"/>
      <c r="B61" s="55"/>
      <c r="C61" s="55"/>
      <c r="D61" s="68"/>
      <c r="G61" s="10"/>
      <c r="H61" s="9"/>
    </row>
    <row r="62" spans="1:9" x14ac:dyDescent="0.3">
      <c r="A62" s="57"/>
      <c r="B62" s="57"/>
      <c r="C62" s="57"/>
      <c r="D62" s="67"/>
      <c r="G62" s="11" t="s">
        <v>65</v>
      </c>
      <c r="H62" s="9">
        <f>SUMIF($C$6:$C$111,"Indirect Cost Used", $D$6:$D$111)</f>
        <v>0</v>
      </c>
    </row>
    <row r="63" spans="1:9" x14ac:dyDescent="0.3">
      <c r="A63" s="55"/>
      <c r="B63" s="55"/>
      <c r="C63" s="55"/>
      <c r="D63" s="68"/>
      <c r="G63" s="186"/>
      <c r="H63" s="185"/>
    </row>
    <row r="64" spans="1:9" ht="14.4" customHeight="1" x14ac:dyDescent="0.3">
      <c r="A64" s="57"/>
      <c r="B64" s="57"/>
      <c r="C64" s="57"/>
      <c r="D64" s="67"/>
      <c r="G64" s="165" t="s">
        <v>69</v>
      </c>
      <c r="H64" s="54">
        <f>SUM(H6:H62)</f>
        <v>0</v>
      </c>
      <c r="I64" s="181">
        <f>SUM(H30:H37)+H62</f>
        <v>0</v>
      </c>
    </row>
    <row r="65" spans="1:8" x14ac:dyDescent="0.3">
      <c r="A65" s="55"/>
      <c r="B65" s="55"/>
      <c r="C65" s="55"/>
      <c r="D65" s="68"/>
    </row>
    <row r="66" spans="1:8" x14ac:dyDescent="0.3">
      <c r="A66" s="57"/>
      <c r="B66" s="57"/>
      <c r="C66" s="57"/>
      <c r="D66" s="67"/>
      <c r="G66" s="72" t="s">
        <v>1968</v>
      </c>
      <c r="H66" s="72" t="s">
        <v>1969</v>
      </c>
    </row>
    <row r="67" spans="1:8" x14ac:dyDescent="0.3">
      <c r="A67" s="55"/>
      <c r="B67" s="55"/>
      <c r="C67" s="55"/>
      <c r="D67" s="68"/>
      <c r="G67" s="73" t="str">
        <f>'Equitable Share'!D12</f>
        <v xml:space="preserve"> </v>
      </c>
      <c r="H67" s="14">
        <f>SUMIF($A$6:$A$111,G67,$D$6:$D$111)</f>
        <v>0</v>
      </c>
    </row>
    <row r="68" spans="1:8" x14ac:dyDescent="0.3">
      <c r="A68" s="57"/>
      <c r="B68" s="57"/>
      <c r="C68" s="57"/>
      <c r="D68" s="67"/>
      <c r="G68" s="73" t="str">
        <f>'Equitable Share'!D13</f>
        <v xml:space="preserve"> </v>
      </c>
      <c r="H68" s="14">
        <f t="shared" ref="H68:H110" si="0">SUMIF($A$6:$A$111,G68,$D$6:$D$111)</f>
        <v>0</v>
      </c>
    </row>
    <row r="69" spans="1:8" x14ac:dyDescent="0.3">
      <c r="A69" s="55"/>
      <c r="B69" s="55"/>
      <c r="C69" s="55"/>
      <c r="D69" s="68"/>
      <c r="G69" s="73" t="str">
        <f>'Equitable Share'!D14</f>
        <v xml:space="preserve"> </v>
      </c>
      <c r="H69" s="14">
        <f t="shared" si="0"/>
        <v>0</v>
      </c>
    </row>
    <row r="70" spans="1:8" x14ac:dyDescent="0.3">
      <c r="A70" s="57"/>
      <c r="B70" s="57"/>
      <c r="C70" s="57"/>
      <c r="D70" s="67"/>
      <c r="G70" s="73" t="str">
        <f>'Equitable Share'!D15</f>
        <v xml:space="preserve"> </v>
      </c>
      <c r="H70" s="14">
        <f t="shared" si="0"/>
        <v>0</v>
      </c>
    </row>
    <row r="71" spans="1:8" x14ac:dyDescent="0.3">
      <c r="A71" s="55"/>
      <c r="B71" s="55"/>
      <c r="C71" s="55"/>
      <c r="D71" s="68"/>
      <c r="G71" s="73" t="str">
        <f>'Equitable Share'!D16</f>
        <v xml:space="preserve"> </v>
      </c>
      <c r="H71" s="14">
        <f t="shared" si="0"/>
        <v>0</v>
      </c>
    </row>
    <row r="72" spans="1:8" x14ac:dyDescent="0.3">
      <c r="A72" s="57"/>
      <c r="B72" s="57"/>
      <c r="C72" s="57"/>
      <c r="D72" s="67"/>
      <c r="G72" s="73" t="str">
        <f>'Equitable Share'!D17</f>
        <v xml:space="preserve"> </v>
      </c>
      <c r="H72" s="14">
        <f t="shared" si="0"/>
        <v>0</v>
      </c>
    </row>
    <row r="73" spans="1:8" x14ac:dyDescent="0.3">
      <c r="A73" s="55"/>
      <c r="B73" s="55"/>
      <c r="C73" s="55"/>
      <c r="D73" s="68"/>
      <c r="G73" s="73" t="str">
        <f>'Equitable Share'!D18</f>
        <v xml:space="preserve"> </v>
      </c>
      <c r="H73" s="14">
        <f t="shared" si="0"/>
        <v>0</v>
      </c>
    </row>
    <row r="74" spans="1:8" x14ac:dyDescent="0.3">
      <c r="A74" s="57"/>
      <c r="B74" s="57"/>
      <c r="C74" s="57"/>
      <c r="D74" s="67"/>
      <c r="G74" s="73" t="str">
        <f>'Equitable Share'!D19</f>
        <v xml:space="preserve"> </v>
      </c>
      <c r="H74" s="14">
        <f t="shared" si="0"/>
        <v>0</v>
      </c>
    </row>
    <row r="75" spans="1:8" x14ac:dyDescent="0.3">
      <c r="A75" s="55"/>
      <c r="B75" s="55"/>
      <c r="C75" s="55"/>
      <c r="D75" s="68"/>
      <c r="G75" s="73" t="str">
        <f>'Equitable Share'!D20</f>
        <v xml:space="preserve"> </v>
      </c>
      <c r="H75" s="14">
        <f t="shared" si="0"/>
        <v>0</v>
      </c>
    </row>
    <row r="76" spans="1:8" x14ac:dyDescent="0.3">
      <c r="A76" s="57"/>
      <c r="B76" s="57"/>
      <c r="C76" s="57"/>
      <c r="D76" s="67"/>
      <c r="G76" s="73" t="str">
        <f>'Equitable Share'!D21</f>
        <v xml:space="preserve"> </v>
      </c>
      <c r="H76" s="14">
        <f t="shared" si="0"/>
        <v>0</v>
      </c>
    </row>
    <row r="77" spans="1:8" x14ac:dyDescent="0.3">
      <c r="A77" s="55"/>
      <c r="B77" s="55"/>
      <c r="C77" s="55"/>
      <c r="D77" s="68"/>
      <c r="G77" s="73" t="str">
        <f>'Equitable Share'!D22</f>
        <v xml:space="preserve"> </v>
      </c>
      <c r="H77" s="14">
        <f t="shared" si="0"/>
        <v>0</v>
      </c>
    </row>
    <row r="78" spans="1:8" x14ac:dyDescent="0.3">
      <c r="A78" s="57"/>
      <c r="B78" s="57"/>
      <c r="C78" s="57"/>
      <c r="D78" s="67"/>
      <c r="G78" s="73" t="str">
        <f>'Equitable Share'!D23</f>
        <v xml:space="preserve"> </v>
      </c>
      <c r="H78" s="14">
        <f t="shared" si="0"/>
        <v>0</v>
      </c>
    </row>
    <row r="79" spans="1:8" x14ac:dyDescent="0.3">
      <c r="A79" s="55"/>
      <c r="B79" s="55"/>
      <c r="C79" s="55"/>
      <c r="D79" s="68"/>
      <c r="G79" s="73" t="str">
        <f>'Equitable Share'!D24</f>
        <v xml:space="preserve"> </v>
      </c>
      <c r="H79" s="14">
        <f t="shared" si="0"/>
        <v>0</v>
      </c>
    </row>
    <row r="80" spans="1:8" x14ac:dyDescent="0.3">
      <c r="A80" s="57"/>
      <c r="B80" s="57"/>
      <c r="C80" s="57"/>
      <c r="D80" s="67"/>
      <c r="G80" s="73" t="str">
        <f>'Equitable Share'!D39</f>
        <v xml:space="preserve"> </v>
      </c>
      <c r="H80" s="14">
        <f t="shared" si="0"/>
        <v>0</v>
      </c>
    </row>
    <row r="81" spans="1:8" x14ac:dyDescent="0.3">
      <c r="A81" s="55"/>
      <c r="B81" s="55"/>
      <c r="C81" s="55"/>
      <c r="D81" s="68"/>
      <c r="G81" s="73" t="str">
        <f>'Equitable Share'!D40</f>
        <v xml:space="preserve"> </v>
      </c>
      <c r="H81" s="14">
        <f t="shared" si="0"/>
        <v>0</v>
      </c>
    </row>
    <row r="82" spans="1:8" x14ac:dyDescent="0.3">
      <c r="A82" s="57"/>
      <c r="B82" s="57"/>
      <c r="C82" s="57"/>
      <c r="D82" s="67"/>
      <c r="G82" s="73" t="str">
        <f>'Equitable Share'!D41</f>
        <v xml:space="preserve"> </v>
      </c>
      <c r="H82" s="14">
        <f t="shared" si="0"/>
        <v>0</v>
      </c>
    </row>
    <row r="83" spans="1:8" x14ac:dyDescent="0.3">
      <c r="A83" s="55"/>
      <c r="B83" s="55"/>
      <c r="C83" s="55"/>
      <c r="D83" s="68"/>
      <c r="G83" s="73" t="str">
        <f>'Equitable Share'!D42</f>
        <v xml:space="preserve"> </v>
      </c>
      <c r="H83" s="14">
        <f t="shared" si="0"/>
        <v>0</v>
      </c>
    </row>
    <row r="84" spans="1:8" x14ac:dyDescent="0.3">
      <c r="A84" s="57"/>
      <c r="B84" s="57"/>
      <c r="C84" s="57"/>
      <c r="D84" s="67"/>
      <c r="G84" s="73" t="str">
        <f>'Equitable Share'!D43</f>
        <v xml:space="preserve"> </v>
      </c>
      <c r="H84" s="14">
        <f t="shared" si="0"/>
        <v>0</v>
      </c>
    </row>
    <row r="85" spans="1:8" x14ac:dyDescent="0.3">
      <c r="A85" s="55"/>
      <c r="B85" s="55"/>
      <c r="C85" s="55"/>
      <c r="D85" s="68"/>
      <c r="G85" s="73" t="str">
        <f>'Equitable Share'!D44</f>
        <v xml:space="preserve"> </v>
      </c>
      <c r="H85" s="14">
        <f t="shared" si="0"/>
        <v>0</v>
      </c>
    </row>
    <row r="86" spans="1:8" x14ac:dyDescent="0.3">
      <c r="A86" s="57"/>
      <c r="B86" s="57"/>
      <c r="C86" s="57"/>
      <c r="D86" s="67"/>
      <c r="G86" s="73" t="str">
        <f>'Equitable Share'!D45</f>
        <v xml:space="preserve"> </v>
      </c>
      <c r="H86" s="14">
        <f t="shared" si="0"/>
        <v>0</v>
      </c>
    </row>
    <row r="87" spans="1:8" x14ac:dyDescent="0.3">
      <c r="A87" s="55"/>
      <c r="B87" s="55"/>
      <c r="C87" s="55"/>
      <c r="D87" s="68"/>
      <c r="G87" s="73" t="str">
        <f>'Equitable Share'!D46</f>
        <v xml:space="preserve"> </v>
      </c>
      <c r="H87" s="14">
        <f t="shared" si="0"/>
        <v>0</v>
      </c>
    </row>
    <row r="88" spans="1:8" x14ac:dyDescent="0.3">
      <c r="A88" s="57"/>
      <c r="B88" s="57"/>
      <c r="C88" s="57"/>
      <c r="D88" s="67"/>
      <c r="G88" s="73" t="str">
        <f>'Equitable Share'!D47</f>
        <v xml:space="preserve"> </v>
      </c>
      <c r="H88" s="14">
        <f t="shared" si="0"/>
        <v>0</v>
      </c>
    </row>
    <row r="89" spans="1:8" x14ac:dyDescent="0.3">
      <c r="A89" s="55"/>
      <c r="B89" s="55"/>
      <c r="C89" s="55"/>
      <c r="D89" s="68"/>
      <c r="G89" s="73" t="str">
        <f>'Equitable Share'!D48</f>
        <v xml:space="preserve"> </v>
      </c>
      <c r="H89" s="14">
        <f t="shared" si="0"/>
        <v>0</v>
      </c>
    </row>
    <row r="90" spans="1:8" x14ac:dyDescent="0.3">
      <c r="A90" s="57"/>
      <c r="B90" s="57"/>
      <c r="C90" s="57"/>
      <c r="D90" s="67"/>
      <c r="G90" s="73" t="str">
        <f>'Equitable Share'!D49</f>
        <v xml:space="preserve"> </v>
      </c>
      <c r="H90" s="14">
        <f t="shared" si="0"/>
        <v>0</v>
      </c>
    </row>
    <row r="91" spans="1:8" x14ac:dyDescent="0.3">
      <c r="A91" s="55"/>
      <c r="B91" s="55"/>
      <c r="C91" s="55"/>
      <c r="D91" s="68"/>
      <c r="G91" s="73" t="str">
        <f>'Equitable Share'!D50</f>
        <v xml:space="preserve"> </v>
      </c>
      <c r="H91" s="14">
        <f t="shared" si="0"/>
        <v>0</v>
      </c>
    </row>
    <row r="92" spans="1:8" x14ac:dyDescent="0.3">
      <c r="A92" s="57"/>
      <c r="B92" s="57"/>
      <c r="C92" s="57"/>
      <c r="D92" s="67"/>
      <c r="G92" s="73" t="str">
        <f>'Equitable Share'!D51</f>
        <v xml:space="preserve"> </v>
      </c>
      <c r="H92" s="14">
        <f t="shared" si="0"/>
        <v>0</v>
      </c>
    </row>
    <row r="93" spans="1:8" x14ac:dyDescent="0.3">
      <c r="A93" s="55"/>
      <c r="B93" s="55"/>
      <c r="C93" s="55"/>
      <c r="D93" s="68"/>
      <c r="G93" s="73" t="str">
        <f>'Equitable Share'!D52</f>
        <v xml:space="preserve"> </v>
      </c>
      <c r="H93" s="14">
        <f t="shared" si="0"/>
        <v>0</v>
      </c>
    </row>
    <row r="94" spans="1:8" x14ac:dyDescent="0.3">
      <c r="A94" s="57"/>
      <c r="B94" s="57"/>
      <c r="C94" s="57"/>
      <c r="D94" s="67"/>
      <c r="G94" s="73" t="str">
        <f>'Equitable Share'!D53</f>
        <v xml:space="preserve"> </v>
      </c>
      <c r="H94" s="14">
        <f t="shared" si="0"/>
        <v>0</v>
      </c>
    </row>
    <row r="95" spans="1:8" x14ac:dyDescent="0.3">
      <c r="A95" s="55"/>
      <c r="B95" s="55"/>
      <c r="C95" s="55"/>
      <c r="D95" s="68"/>
      <c r="G95" s="73" t="str">
        <f>'Equitable Share'!D54</f>
        <v xml:space="preserve"> </v>
      </c>
      <c r="H95" s="14">
        <f t="shared" si="0"/>
        <v>0</v>
      </c>
    </row>
    <row r="96" spans="1:8" x14ac:dyDescent="0.3">
      <c r="A96" s="57"/>
      <c r="B96" s="57"/>
      <c r="C96" s="57"/>
      <c r="D96" s="67"/>
      <c r="G96" s="73" t="str">
        <f>'Equitable Share'!D55</f>
        <v xml:space="preserve"> </v>
      </c>
      <c r="H96" s="14">
        <f t="shared" si="0"/>
        <v>0</v>
      </c>
    </row>
    <row r="97" spans="1:8" x14ac:dyDescent="0.3">
      <c r="A97" s="55"/>
      <c r="B97" s="55"/>
      <c r="C97" s="55"/>
      <c r="D97" s="68"/>
      <c r="G97" s="73"/>
      <c r="H97" s="14">
        <f t="shared" si="0"/>
        <v>0</v>
      </c>
    </row>
    <row r="98" spans="1:8" x14ac:dyDescent="0.3">
      <c r="A98" s="57"/>
      <c r="B98" s="57"/>
      <c r="C98" s="57"/>
      <c r="D98" s="67"/>
      <c r="G98" s="73"/>
      <c r="H98" s="14">
        <f t="shared" si="0"/>
        <v>0</v>
      </c>
    </row>
    <row r="99" spans="1:8" x14ac:dyDescent="0.3">
      <c r="A99" s="55"/>
      <c r="B99" s="55"/>
      <c r="C99" s="55"/>
      <c r="D99" s="68"/>
      <c r="G99" s="73"/>
      <c r="H99" s="14">
        <f t="shared" si="0"/>
        <v>0</v>
      </c>
    </row>
    <row r="100" spans="1:8" x14ac:dyDescent="0.3">
      <c r="A100" s="57"/>
      <c r="B100" s="57"/>
      <c r="C100" s="57"/>
      <c r="D100" s="67"/>
      <c r="G100" s="73"/>
      <c r="H100" s="14">
        <f t="shared" si="0"/>
        <v>0</v>
      </c>
    </row>
    <row r="101" spans="1:8" x14ac:dyDescent="0.3">
      <c r="A101" s="55"/>
      <c r="B101" s="55"/>
      <c r="C101" s="55"/>
      <c r="D101" s="68"/>
      <c r="H101" s="14">
        <f t="shared" si="0"/>
        <v>0</v>
      </c>
    </row>
    <row r="102" spans="1:8" x14ac:dyDescent="0.3">
      <c r="A102" s="57"/>
      <c r="B102" s="57"/>
      <c r="C102" s="57"/>
      <c r="D102" s="67"/>
      <c r="H102" s="14">
        <f t="shared" si="0"/>
        <v>0</v>
      </c>
    </row>
    <row r="103" spans="1:8" x14ac:dyDescent="0.3">
      <c r="A103" s="55"/>
      <c r="B103" s="55"/>
      <c r="C103" s="55"/>
      <c r="D103" s="68"/>
      <c r="H103" s="14">
        <f t="shared" si="0"/>
        <v>0</v>
      </c>
    </row>
    <row r="104" spans="1:8" x14ac:dyDescent="0.3">
      <c r="A104" s="57"/>
      <c r="B104" s="57"/>
      <c r="C104" s="57"/>
      <c r="D104" s="67"/>
      <c r="H104" s="14">
        <f t="shared" si="0"/>
        <v>0</v>
      </c>
    </row>
    <row r="105" spans="1:8" x14ac:dyDescent="0.3">
      <c r="A105" s="55"/>
      <c r="B105" s="55"/>
      <c r="C105" s="55"/>
      <c r="D105" s="68"/>
      <c r="H105" s="14">
        <f t="shared" si="0"/>
        <v>0</v>
      </c>
    </row>
    <row r="106" spans="1:8" x14ac:dyDescent="0.3">
      <c r="A106" s="57"/>
      <c r="B106" s="57"/>
      <c r="C106" s="57"/>
      <c r="D106" s="67"/>
      <c r="H106" s="14">
        <f t="shared" si="0"/>
        <v>0</v>
      </c>
    </row>
    <row r="107" spans="1:8" x14ac:dyDescent="0.3">
      <c r="A107" s="55"/>
      <c r="B107" s="55"/>
      <c r="C107" s="55"/>
      <c r="D107" s="68"/>
      <c r="H107" s="14">
        <f t="shared" si="0"/>
        <v>0</v>
      </c>
    </row>
    <row r="108" spans="1:8" x14ac:dyDescent="0.3">
      <c r="A108" s="57"/>
      <c r="B108" s="57"/>
      <c r="C108" s="57"/>
      <c r="D108" s="67"/>
      <c r="H108" s="14">
        <f t="shared" si="0"/>
        <v>0</v>
      </c>
    </row>
    <row r="109" spans="1:8" x14ac:dyDescent="0.3">
      <c r="A109" s="55"/>
      <c r="B109" s="55"/>
      <c r="C109" s="55"/>
      <c r="D109" s="68"/>
      <c r="H109" s="14">
        <f t="shared" si="0"/>
        <v>0</v>
      </c>
    </row>
    <row r="110" spans="1:8" x14ac:dyDescent="0.3">
      <c r="A110" s="57"/>
      <c r="B110" s="57"/>
      <c r="C110" s="57"/>
      <c r="D110" s="67"/>
      <c r="H110" s="14">
        <f t="shared" si="0"/>
        <v>0</v>
      </c>
    </row>
    <row r="111" spans="1:8" x14ac:dyDescent="0.3">
      <c r="A111" s="55"/>
      <c r="B111" s="55"/>
      <c r="C111" s="55"/>
      <c r="D111" s="68"/>
    </row>
    <row r="112" spans="1:8" ht="15.6" x14ac:dyDescent="0.3">
      <c r="A112" s="207"/>
      <c r="B112" s="207"/>
      <c r="C112" s="208" t="s">
        <v>1986</v>
      </c>
      <c r="D112" s="209">
        <f>SUM(D6:D111)</f>
        <v>0</v>
      </c>
    </row>
    <row r="113" spans="1:4" ht="15.6" x14ac:dyDescent="0.3">
      <c r="A113" s="211"/>
      <c r="B113" s="211"/>
      <c r="C113" s="212" t="s">
        <v>1987</v>
      </c>
      <c r="D113" s="210" t="str">
        <f>'Amend#1 Overview'!G13</f>
        <v xml:space="preserve"> </v>
      </c>
    </row>
    <row r="114" spans="1:4" x14ac:dyDescent="0.3">
      <c r="A114" s="211"/>
      <c r="B114" s="211"/>
      <c r="C114" s="213" t="s">
        <v>400</v>
      </c>
      <c r="D114" s="214" t="str">
        <f>IFERROR(D113-D112,"")</f>
        <v/>
      </c>
    </row>
  </sheetData>
  <sheetProtection algorithmName="SHA-512" hashValue="6Nurj3ewPfidLL2vIozG8okf5QDZbbqJDdUFCXUl/zdBN/MD91sXeFjyoeBW835JpDkV+vsfJKboV7YFBX+2ug==" saltValue="WIxxBiVgroR/afTbvCnqtQ==" spinCount="100000" sheet="1" objects="1" scenarios="1" selectLockedCells="1"/>
  <mergeCells count="2">
    <mergeCell ref="A1:H1"/>
    <mergeCell ref="A2:H3"/>
  </mergeCells>
  <conditionalFormatting sqref="G6:G62">
    <cfRule type="expression" dxfId="166" priority="14">
      <formula>MOD(ROW(),2)=0</formula>
    </cfRule>
  </conditionalFormatting>
  <conditionalFormatting sqref="H67:H110">
    <cfRule type="expression" dxfId="165" priority="6" stopIfTrue="1">
      <formula>H67=0</formula>
    </cfRule>
  </conditionalFormatting>
  <conditionalFormatting sqref="H6:H63">
    <cfRule type="expression" dxfId="164" priority="15">
      <formula>MOD(ROW(),2)=0</formula>
    </cfRule>
  </conditionalFormatting>
  <conditionalFormatting sqref="G63">
    <cfRule type="expression" dxfId="163" priority="10">
      <formula>MOD(ROW(),2)=0</formula>
    </cfRule>
  </conditionalFormatting>
  <conditionalFormatting sqref="D112">
    <cfRule type="cellIs" dxfId="162" priority="3" operator="lessThan">
      <formula>$D$113</formula>
    </cfRule>
    <cfRule type="cellIs" dxfId="161" priority="4" operator="equal">
      <formula>$D$113</formula>
    </cfRule>
    <cfRule type="cellIs" dxfId="160" priority="5" operator="greaterThan">
      <formula>$D$113</formula>
    </cfRule>
  </conditionalFormatting>
  <dataValidations count="2">
    <dataValidation type="list" allowBlank="1" showInputMessage="1" showErrorMessage="1" promptTitle="Select Budget Category" sqref="C5" xr:uid="{40AAA505-0815-44AE-86C5-728DB2484BCC}">
      <formula1>$G$6:$G$62</formula1>
    </dataValidation>
    <dataValidation type="list" allowBlank="1" showInputMessage="1" showErrorMessage="1" promptTitle="Select Budget Category" sqref="C6:C111" xr:uid="{B8DCA6C0-B852-4DE9-AE56-D28018F9F864}">
      <formula1>$G$6:$G$63</formula1>
    </dataValidation>
  </dataValidations>
  <hyperlinks>
    <hyperlink ref="C4" location="'Budget Category'!A1" display="Budget Category" xr:uid="{B7B127CC-8CAB-40AF-8AF0-F0D08318B2B7}"/>
  </hyperlinks>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7" id="{3E4A541E-5735-458D-856B-B1E55EFB7985}">
            <xm:f>H67&lt;'Amend#1 Equitable Share'!K12:M12</xm:f>
            <x14:dxf>
              <fill>
                <patternFill>
                  <bgColor rgb="FFFFFF00"/>
                </patternFill>
              </fill>
            </x14:dxf>
          </x14:cfRule>
          <x14:cfRule type="expression" priority="8" id="{89D70A5F-3EEE-40EA-9C6A-1C9CCCD5EEEC}">
            <xm:f>H67&gt;'Amend#1 Equitable Share'!K12:M12</xm:f>
            <x14:dxf>
              <fill>
                <patternFill>
                  <bgColor rgb="FFFF0000"/>
                </patternFill>
              </fill>
            </x14:dxf>
          </x14:cfRule>
          <x14:cfRule type="expression" priority="9" id="{5A8B257E-5B04-4CDD-807D-354914515F95}">
            <xm:f>H67='Amend#1 Equitable Share'!K12:M12</xm:f>
            <x14:dxf>
              <fill>
                <patternFill>
                  <bgColor rgb="FF92D050"/>
                </patternFill>
              </fill>
            </x14:dxf>
          </x14:cfRule>
          <xm:sqref>H67:H110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Please choose NPS from list." xr:uid="{32F6FFF0-707A-4BB1-8221-55B56D92747B}">
          <x14:formula1>
            <xm:f>'Equitable Share'!$D$12:$D$55</xm:f>
          </x14:formula1>
          <xm:sqref>A6:A111</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E9E19-062B-4CA7-85FC-A5F28E7EB78C}">
  <sheetPr codeName="Sheet13">
    <tabColor theme="5" tint="-0.249977111117893"/>
  </sheetPr>
  <dimension ref="A1:M74"/>
  <sheetViews>
    <sheetView showGridLines="0" zoomScaleNormal="100" workbookViewId="0">
      <selection activeCell="C4" sqref="C4:D4"/>
    </sheetView>
  </sheetViews>
  <sheetFormatPr defaultColWidth="8.88671875" defaultRowHeight="14.4" x14ac:dyDescent="0.3"/>
  <cols>
    <col min="1" max="1" width="61" style="14" customWidth="1"/>
    <col min="2" max="2" width="12.5546875" style="53" bestFit="1" customWidth="1"/>
    <col min="3" max="3" width="32.33203125" style="14" customWidth="1"/>
    <col min="4" max="4" width="15.33203125" style="53" customWidth="1"/>
    <col min="5" max="5" width="16.44140625" style="14" customWidth="1"/>
    <col min="6" max="7" width="2.109375" style="14" customWidth="1"/>
    <col min="8" max="8" width="46.5546875" style="14" customWidth="1"/>
    <col min="9" max="9" width="17.5546875" style="14" customWidth="1"/>
    <col min="10" max="16384" width="8.88671875" style="14"/>
  </cols>
  <sheetData>
    <row r="1" spans="1:13" ht="43.2" customHeight="1" thickBot="1" x14ac:dyDescent="0.35">
      <c r="A1" s="728" t="s">
        <v>419</v>
      </c>
      <c r="B1" s="729"/>
      <c r="C1" s="729"/>
      <c r="D1" s="729"/>
      <c r="E1" s="729"/>
      <c r="F1" s="729"/>
      <c r="G1" s="729"/>
      <c r="H1" s="729"/>
      <c r="I1" s="730"/>
    </row>
    <row r="2" spans="1:13" ht="14.4" customHeight="1" x14ac:dyDescent="0.3">
      <c r="A2" s="547" t="s">
        <v>423</v>
      </c>
      <c r="B2" s="548"/>
      <c r="C2" s="548"/>
      <c r="D2" s="548"/>
      <c r="E2" s="548"/>
      <c r="F2" s="548"/>
      <c r="G2" s="548"/>
      <c r="H2" s="548"/>
      <c r="I2" s="549"/>
    </row>
    <row r="3" spans="1:13" s="41" customFormat="1" ht="14.4" customHeight="1" thickBot="1" x14ac:dyDescent="0.35">
      <c r="A3" s="550"/>
      <c r="B3" s="551"/>
      <c r="C3" s="551"/>
      <c r="D3" s="551"/>
      <c r="E3" s="551"/>
      <c r="F3" s="551"/>
      <c r="G3" s="551"/>
      <c r="H3" s="551"/>
      <c r="I3" s="552"/>
    </row>
    <row r="4" spans="1:13" s="41" customFormat="1" ht="14.4" customHeight="1" thickBot="1" x14ac:dyDescent="0.4">
      <c r="A4" s="42" t="s">
        <v>32</v>
      </c>
      <c r="B4" s="43" t="s">
        <v>135</v>
      </c>
      <c r="C4" s="225" t="s">
        <v>33</v>
      </c>
      <c r="D4" s="44"/>
      <c r="E4" s="42" t="s">
        <v>34</v>
      </c>
      <c r="F4" s="45"/>
      <c r="G4" s="45"/>
      <c r="H4" s="45"/>
      <c r="I4" s="45"/>
      <c r="J4" s="45"/>
      <c r="K4" s="45"/>
      <c r="L4" s="45"/>
      <c r="M4" s="45"/>
    </row>
    <row r="5" spans="1:13" ht="14.4" customHeight="1" thickBot="1" x14ac:dyDescent="0.4">
      <c r="A5" s="46" t="s">
        <v>136</v>
      </c>
      <c r="B5" s="47" t="s">
        <v>137</v>
      </c>
      <c r="C5" s="557" t="s">
        <v>81</v>
      </c>
      <c r="D5" s="558"/>
      <c r="E5" s="48" t="s">
        <v>76</v>
      </c>
      <c r="H5" s="6" t="s">
        <v>66</v>
      </c>
      <c r="I5" s="7" t="s">
        <v>34</v>
      </c>
    </row>
    <row r="6" spans="1:13" ht="14.4" customHeight="1" x14ac:dyDescent="0.3">
      <c r="A6" s="136"/>
      <c r="B6" s="219"/>
      <c r="C6" s="553"/>
      <c r="D6" s="554"/>
      <c r="E6" s="65"/>
      <c r="H6" s="8" t="s">
        <v>81</v>
      </c>
      <c r="I6" s="9">
        <f>SUMIF($C$6:$C$35,"Instruction: Salary (Cert./Non Cert.)", $E$6:$E$35)</f>
        <v>0</v>
      </c>
    </row>
    <row r="7" spans="1:13" ht="14.4" customHeight="1" x14ac:dyDescent="0.3">
      <c r="A7" s="55"/>
      <c r="B7" s="191"/>
      <c r="C7" s="555"/>
      <c r="D7" s="556"/>
      <c r="E7" s="66"/>
      <c r="H7" s="8" t="s">
        <v>82</v>
      </c>
      <c r="I7" s="9">
        <f>SUMIF($C$6:$C$35,"Instruction: Benefits (Cert./Non Cert.)", $E$6:$E$35)</f>
        <v>0</v>
      </c>
    </row>
    <row r="8" spans="1:13" ht="14.4" customHeight="1" x14ac:dyDescent="0.3">
      <c r="A8" s="57"/>
      <c r="B8" s="58"/>
      <c r="C8" s="559"/>
      <c r="D8" s="560"/>
      <c r="E8" s="67"/>
      <c r="H8" s="10" t="s">
        <v>35</v>
      </c>
      <c r="I8" s="9">
        <f>SUMIF($C$6:$C$35,"Instruction: Professional Services", $E$6:$E$35)</f>
        <v>0</v>
      </c>
    </row>
    <row r="9" spans="1:13" ht="14.4" customHeight="1" x14ac:dyDescent="0.3">
      <c r="A9" s="131"/>
      <c r="B9" s="56"/>
      <c r="C9" s="555"/>
      <c r="D9" s="556"/>
      <c r="E9" s="68"/>
      <c r="H9" s="10" t="s">
        <v>36</v>
      </c>
      <c r="I9" s="9">
        <f>SUMIF($C$6:$C$35,"Instruction: Rentals", $E$6:$E$35)</f>
        <v>0</v>
      </c>
    </row>
    <row r="10" spans="1:13" ht="14.4" customHeight="1" x14ac:dyDescent="0.3">
      <c r="A10" s="132"/>
      <c r="B10" s="58"/>
      <c r="C10" s="559"/>
      <c r="D10" s="560"/>
      <c r="E10" s="67"/>
      <c r="H10" s="10" t="s">
        <v>37</v>
      </c>
      <c r="I10" s="9">
        <f>SUMIF($C$6:$C$35,"Instruction: Other Purchased Services", $E$6:$E$35)</f>
        <v>0</v>
      </c>
    </row>
    <row r="11" spans="1:13" ht="14.4" customHeight="1" x14ac:dyDescent="0.3">
      <c r="A11" s="131"/>
      <c r="B11" s="56"/>
      <c r="C11" s="555"/>
      <c r="D11" s="556"/>
      <c r="E11" s="68"/>
      <c r="H11" s="10" t="s">
        <v>38</v>
      </c>
      <c r="I11" s="9">
        <f>SUMIF($C$6:$C$35,"Instruction: General Supplies", $E$6:$E$35)</f>
        <v>0</v>
      </c>
    </row>
    <row r="12" spans="1:13" ht="14.4" customHeight="1" x14ac:dyDescent="0.3">
      <c r="A12" s="132"/>
      <c r="B12" s="58"/>
      <c r="C12" s="559"/>
      <c r="D12" s="560"/>
      <c r="E12" s="67"/>
      <c r="H12" s="10" t="s">
        <v>39</v>
      </c>
      <c r="I12" s="9">
        <f>SUMIF($C$6:$C$35,"Instruction: Property", $E$6:$E$35)</f>
        <v>0</v>
      </c>
    </row>
    <row r="13" spans="1:13" ht="14.4" customHeight="1" x14ac:dyDescent="0.3">
      <c r="A13" s="131"/>
      <c r="B13" s="56"/>
      <c r="C13" s="555"/>
      <c r="D13" s="556"/>
      <c r="E13" s="68"/>
      <c r="H13" s="10"/>
      <c r="I13" s="9"/>
    </row>
    <row r="14" spans="1:13" ht="14.4" customHeight="1" x14ac:dyDescent="0.3">
      <c r="A14" s="132"/>
      <c r="B14" s="58"/>
      <c r="C14" s="559"/>
      <c r="D14" s="560"/>
      <c r="E14" s="67"/>
      <c r="H14" s="8" t="s">
        <v>83</v>
      </c>
      <c r="I14" s="9">
        <f>SUMIF($C$6:$C$35,"Support Services (Student): Salary (Cert./Non Cert.)", $E$6:$E$35)</f>
        <v>0</v>
      </c>
    </row>
    <row r="15" spans="1:13" ht="14.4" customHeight="1" x14ac:dyDescent="0.3">
      <c r="A15" s="131"/>
      <c r="B15" s="56"/>
      <c r="C15" s="555"/>
      <c r="D15" s="556"/>
      <c r="E15" s="68"/>
      <c r="H15" s="8" t="s">
        <v>84</v>
      </c>
      <c r="I15" s="9">
        <f>SUMIF($C$6:$C$35,"Support Services (Student): Benefits (Cert./Non Cert.)", $E$6:$E$35)</f>
        <v>0</v>
      </c>
    </row>
    <row r="16" spans="1:13" x14ac:dyDescent="0.3">
      <c r="A16" s="132"/>
      <c r="B16" s="58"/>
      <c r="C16" s="559"/>
      <c r="D16" s="560"/>
      <c r="E16" s="67"/>
      <c r="H16" s="10" t="s">
        <v>40</v>
      </c>
      <c r="I16" s="9">
        <f>SUMIF($C$6:$C$35,"Support Services (Student): Professional Services", $E$6:$E$35)</f>
        <v>0</v>
      </c>
    </row>
    <row r="17" spans="1:9" x14ac:dyDescent="0.3">
      <c r="A17" s="131"/>
      <c r="B17" s="56"/>
      <c r="C17" s="555"/>
      <c r="D17" s="556"/>
      <c r="E17" s="68"/>
      <c r="H17" s="10" t="s">
        <v>41</v>
      </c>
      <c r="I17" s="9">
        <f>SUMIF($C$6:$C$35,"Support Services (Student): Rentals", $E$6:$E$35)</f>
        <v>0</v>
      </c>
    </row>
    <row r="18" spans="1:9" x14ac:dyDescent="0.3">
      <c r="A18" s="132"/>
      <c r="B18" s="58"/>
      <c r="C18" s="559"/>
      <c r="D18" s="560"/>
      <c r="E18" s="67"/>
      <c r="H18" s="10" t="s">
        <v>42</v>
      </c>
      <c r="I18" s="9">
        <f>SUMIF($C$6:$C$35,"Support Services (Student): Other Purchased Services", $E$6:$E$35)</f>
        <v>0</v>
      </c>
    </row>
    <row r="19" spans="1:9" x14ac:dyDescent="0.3">
      <c r="A19" s="131"/>
      <c r="B19" s="56"/>
      <c r="C19" s="555"/>
      <c r="D19" s="556"/>
      <c r="E19" s="68"/>
      <c r="H19" s="10" t="s">
        <v>43</v>
      </c>
      <c r="I19" s="9">
        <f>SUMIF($C$6:$C$35,"Support Services (Student): General Supplies", $E$6:$E$35)</f>
        <v>0</v>
      </c>
    </row>
    <row r="20" spans="1:9" x14ac:dyDescent="0.3">
      <c r="A20" s="132"/>
      <c r="B20" s="58"/>
      <c r="C20" s="559"/>
      <c r="D20" s="560"/>
      <c r="E20" s="67"/>
      <c r="H20" s="10" t="s">
        <v>44</v>
      </c>
      <c r="I20" s="9">
        <f>SUMIF($C$6:$C$35,"Support Services (Student): Property", $E$6:$E$35)</f>
        <v>0</v>
      </c>
    </row>
    <row r="21" spans="1:9" x14ac:dyDescent="0.3">
      <c r="A21" s="131"/>
      <c r="B21" s="56"/>
      <c r="C21" s="555"/>
      <c r="D21" s="556"/>
      <c r="E21" s="68"/>
      <c r="H21" s="10"/>
      <c r="I21" s="9"/>
    </row>
    <row r="22" spans="1:9" x14ac:dyDescent="0.3">
      <c r="A22" s="132"/>
      <c r="B22" s="58"/>
      <c r="C22" s="559"/>
      <c r="D22" s="560"/>
      <c r="E22" s="67"/>
      <c r="H22" s="8" t="s">
        <v>85</v>
      </c>
      <c r="I22" s="9">
        <f>SUMIF($C$6:$C$35,"Improvement of Instruction: Salary (Cert./Non Cert.)", $E$6:$E$35)</f>
        <v>0</v>
      </c>
    </row>
    <row r="23" spans="1:9" x14ac:dyDescent="0.3">
      <c r="A23" s="131"/>
      <c r="B23" s="56"/>
      <c r="C23" s="555"/>
      <c r="D23" s="556"/>
      <c r="E23" s="68"/>
      <c r="H23" s="8" t="s">
        <v>86</v>
      </c>
      <c r="I23" s="9">
        <f>SUMIF($C$6:$C$35,"Improvement of Instruction: Benefits (Cert./Non Cert.)", $E$6:$E$35)</f>
        <v>0</v>
      </c>
    </row>
    <row r="24" spans="1:9" x14ac:dyDescent="0.3">
      <c r="A24" s="132"/>
      <c r="B24" s="58"/>
      <c r="C24" s="559"/>
      <c r="D24" s="560"/>
      <c r="E24" s="67"/>
      <c r="H24" s="10" t="s">
        <v>45</v>
      </c>
      <c r="I24" s="9">
        <f>SUMIF($C$6:$C$35,"Improvement of Instruction: Professional Services", $E$6:$E$35)</f>
        <v>0</v>
      </c>
    </row>
    <row r="25" spans="1:9" x14ac:dyDescent="0.3">
      <c r="A25" s="131"/>
      <c r="B25" s="56"/>
      <c r="C25" s="555"/>
      <c r="D25" s="556"/>
      <c r="E25" s="68"/>
      <c r="H25" s="10" t="s">
        <v>46</v>
      </c>
      <c r="I25" s="9">
        <f>SUMIF($C$6:$C$35,"Improvement of Instruction: Rentals", $E$6:$E$35)</f>
        <v>0</v>
      </c>
    </row>
    <row r="26" spans="1:9" x14ac:dyDescent="0.3">
      <c r="A26" s="132"/>
      <c r="B26" s="58"/>
      <c r="C26" s="559"/>
      <c r="D26" s="560"/>
      <c r="E26" s="67"/>
      <c r="H26" s="10" t="s">
        <v>47</v>
      </c>
      <c r="I26" s="9">
        <f>SUMIF($C$6:$C$35,"Improvement of Instruction: Other Purchased Services", $E$6:$E$35)</f>
        <v>0</v>
      </c>
    </row>
    <row r="27" spans="1:9" x14ac:dyDescent="0.3">
      <c r="A27" s="131"/>
      <c r="B27" s="56"/>
      <c r="C27" s="555"/>
      <c r="D27" s="556"/>
      <c r="E27" s="68"/>
      <c r="H27" s="10" t="s">
        <v>48</v>
      </c>
      <c r="I27" s="9">
        <f>SUMIF($C$6:$C$35,"Improvement of Instruction: General Supplies", $E$6:$E$35)</f>
        <v>0</v>
      </c>
    </row>
    <row r="28" spans="1:9" x14ac:dyDescent="0.3">
      <c r="A28" s="132"/>
      <c r="B28" s="58"/>
      <c r="C28" s="559"/>
      <c r="D28" s="560"/>
      <c r="E28" s="67"/>
      <c r="H28" s="10" t="s">
        <v>49</v>
      </c>
      <c r="I28" s="9">
        <f>SUMIF($C$6:$C$35,"Improvement of Instruction: Property", $E$6:$E$35)</f>
        <v>0</v>
      </c>
    </row>
    <row r="29" spans="1:9" x14ac:dyDescent="0.3">
      <c r="A29" s="131"/>
      <c r="B29" s="56"/>
      <c r="C29" s="555"/>
      <c r="D29" s="556"/>
      <c r="E29" s="68"/>
      <c r="H29" s="10"/>
      <c r="I29" s="9"/>
    </row>
    <row r="30" spans="1:9" x14ac:dyDescent="0.3">
      <c r="A30" s="132"/>
      <c r="B30" s="58"/>
      <c r="C30" s="559"/>
      <c r="D30" s="560"/>
      <c r="E30" s="67"/>
      <c r="H30" s="8" t="s">
        <v>402</v>
      </c>
      <c r="I30" s="9">
        <f>SUMIF($C$6:$C$35,"Other Support Services-Admin: Salary (Cert./Non Cert.)", $E$6:$E$35)</f>
        <v>0</v>
      </c>
    </row>
    <row r="31" spans="1:9" x14ac:dyDescent="0.3">
      <c r="A31" s="131"/>
      <c r="B31" s="56"/>
      <c r="C31" s="555"/>
      <c r="D31" s="556"/>
      <c r="E31" s="68"/>
      <c r="H31" s="8" t="s">
        <v>403</v>
      </c>
      <c r="I31" s="9">
        <f>SUMIF($C$6:$C$35,"Other Support Services-Admin: Benefits (Cert./Non Cert.)", $E$6:$E$35)</f>
        <v>0</v>
      </c>
    </row>
    <row r="32" spans="1:9" x14ac:dyDescent="0.3">
      <c r="A32" s="132"/>
      <c r="B32" s="58"/>
      <c r="C32" s="559"/>
      <c r="D32" s="560"/>
      <c r="E32" s="67"/>
      <c r="H32" s="10" t="s">
        <v>404</v>
      </c>
      <c r="I32" s="9">
        <f>SUMIF($C$6:$C$35,"Other Support Services-Admin: Professional Services", $E$6:$E$35)</f>
        <v>0</v>
      </c>
    </row>
    <row r="33" spans="1:9" x14ac:dyDescent="0.3">
      <c r="A33" s="131"/>
      <c r="B33" s="56"/>
      <c r="C33" s="555"/>
      <c r="D33" s="556"/>
      <c r="E33" s="68"/>
      <c r="H33" s="10" t="s">
        <v>405</v>
      </c>
      <c r="I33" s="9">
        <f>SUMIF($C$6:$C$35,"Other Support Services-Admin: Rentals", $E$6:$E$35)</f>
        <v>0</v>
      </c>
    </row>
    <row r="34" spans="1:9" x14ac:dyDescent="0.3">
      <c r="A34" s="132"/>
      <c r="B34" s="58"/>
      <c r="C34" s="559"/>
      <c r="D34" s="560"/>
      <c r="E34" s="67"/>
      <c r="H34" s="10" t="s">
        <v>406</v>
      </c>
      <c r="I34" s="9">
        <f>SUMIF($C$6:$C$35,"Other Support Services-Admin: Other Purchased Services", $E$6:$E$35)</f>
        <v>0</v>
      </c>
    </row>
    <row r="35" spans="1:9" ht="15" thickBot="1" x14ac:dyDescent="0.35">
      <c r="A35" s="131"/>
      <c r="B35" s="56"/>
      <c r="C35" s="555"/>
      <c r="D35" s="556"/>
      <c r="E35" s="68"/>
      <c r="H35" s="10" t="s">
        <v>407</v>
      </c>
      <c r="I35" s="9">
        <f>SUMIF($C$6:$C$35,"Other Support Services-Admin: General Supplies", $E$6:$E$35)</f>
        <v>0</v>
      </c>
    </row>
    <row r="36" spans="1:9" ht="16.2" customHeight="1" thickTop="1" x14ac:dyDescent="0.35">
      <c r="A36" s="49"/>
      <c r="B36" s="50"/>
      <c r="C36" s="51"/>
      <c r="D36" s="52" t="s">
        <v>77</v>
      </c>
      <c r="E36" s="163">
        <f>SUM(E6:E35)</f>
        <v>0</v>
      </c>
      <c r="H36" s="10" t="s">
        <v>408</v>
      </c>
      <c r="I36" s="9">
        <f>SUMIF($C$6:$C$35,"Other Support Services-Admin: Property", $E$6:$E$35)</f>
        <v>0</v>
      </c>
    </row>
    <row r="37" spans="1:9" ht="16.2" customHeight="1" x14ac:dyDescent="0.3">
      <c r="C37" s="561" t="s">
        <v>93</v>
      </c>
      <c r="D37" s="562"/>
      <c r="E37" s="164" t="str">
        <f>'Amend#1 Overview'!G14</f>
        <v/>
      </c>
      <c r="H37" s="10"/>
      <c r="I37" s="9"/>
    </row>
    <row r="38" spans="1:9" x14ac:dyDescent="0.3">
      <c r="C38" s="563" t="s">
        <v>400</v>
      </c>
      <c r="D38" s="564"/>
      <c r="E38" s="54" t="str">
        <f>IFERROR(E37-E36,"")</f>
        <v/>
      </c>
      <c r="H38" s="8" t="s">
        <v>87</v>
      </c>
      <c r="I38" s="9">
        <f>SUMIF($C$6:$C$35,"Operations and Maintenance: Salary (Cert./Non Cert.)", $E$6:$E$35)</f>
        <v>0</v>
      </c>
    </row>
    <row r="39" spans="1:9" x14ac:dyDescent="0.3">
      <c r="H39" s="8" t="s">
        <v>88</v>
      </c>
      <c r="I39" s="9">
        <f>SUMIF($C$6:$C$35,"Operations and Maintenance: Benefits (Cert./Non Cert.)", $E$6:$E$35)</f>
        <v>0</v>
      </c>
    </row>
    <row r="40" spans="1:9" x14ac:dyDescent="0.3">
      <c r="H40" s="10" t="s">
        <v>50</v>
      </c>
      <c r="I40" s="9">
        <f>SUMIF($C$6:$C$35,"Operations and Maintenance: Professional Services", $E$6:$E$35)</f>
        <v>0</v>
      </c>
    </row>
    <row r="41" spans="1:9" x14ac:dyDescent="0.3">
      <c r="H41" s="10" t="s">
        <v>51</v>
      </c>
      <c r="I41" s="9">
        <f>SUMIF($C$6:$C$35,"Operations and Maintenance: Rentals", $E$6:$E$35)</f>
        <v>0</v>
      </c>
    </row>
    <row r="42" spans="1:9" x14ac:dyDescent="0.3">
      <c r="H42" s="10" t="s">
        <v>52</v>
      </c>
      <c r="I42" s="9">
        <f>SUMIF($C$6:$C$35,"Operations and Maintenance: Other Purchased Services", $E$6:$E$35)</f>
        <v>0</v>
      </c>
    </row>
    <row r="43" spans="1:9" x14ac:dyDescent="0.3">
      <c r="H43" s="10" t="s">
        <v>53</v>
      </c>
      <c r="I43" s="9">
        <f>SUMIF($C$6:$C$35,"Operations and Maintenance: General Supplies", $E$6:$E$35)</f>
        <v>0</v>
      </c>
    </row>
    <row r="44" spans="1:9" x14ac:dyDescent="0.3">
      <c r="H44" s="10" t="s">
        <v>54</v>
      </c>
      <c r="I44" s="9">
        <f>SUMIF($C$6:$C$35,"Operations and Maintenance: Property", $E$6:$E$35)</f>
        <v>0</v>
      </c>
    </row>
    <row r="45" spans="1:9" x14ac:dyDescent="0.3">
      <c r="H45" s="10"/>
      <c r="I45" s="9"/>
    </row>
    <row r="46" spans="1:9" x14ac:dyDescent="0.3">
      <c r="H46" s="8" t="s">
        <v>89</v>
      </c>
      <c r="I46" s="9">
        <f>SUMIF($C$6:$C$35,"Transportation: Salary (Cert./Non Cert.)", $E$6:$E$35)</f>
        <v>0</v>
      </c>
    </row>
    <row r="47" spans="1:9" x14ac:dyDescent="0.3">
      <c r="H47" s="8" t="s">
        <v>90</v>
      </c>
      <c r="I47" s="9">
        <f>SUMIF($C$6:$C$35,"Transportation: Benefits (Cert./Non Cert.)", $E$6:$E$35)</f>
        <v>0</v>
      </c>
    </row>
    <row r="48" spans="1:9" x14ac:dyDescent="0.3">
      <c r="H48" s="10" t="s">
        <v>55</v>
      </c>
      <c r="I48" s="9">
        <f>SUMIF($C$6:$C$35,"Transportation: Professional Services", $E$6:$E$35)</f>
        <v>0</v>
      </c>
    </row>
    <row r="49" spans="8:9" x14ac:dyDescent="0.3">
      <c r="H49" s="10" t="s">
        <v>56</v>
      </c>
      <c r="I49" s="9">
        <f>SUMIF($C$6:$C$35,"Transportation: Rentals", $E$6:$E$35)</f>
        <v>0</v>
      </c>
    </row>
    <row r="50" spans="8:9" x14ac:dyDescent="0.3">
      <c r="H50" s="10" t="s">
        <v>57</v>
      </c>
      <c r="I50" s="9">
        <f>SUMIF($C$6:$C$35,"Transportation: Other Purchased Services", $E$6:$E$35)</f>
        <v>0</v>
      </c>
    </row>
    <row r="51" spans="8:9" x14ac:dyDescent="0.3">
      <c r="H51" s="10" t="s">
        <v>58</v>
      </c>
      <c r="I51" s="9">
        <f>SUMIF($C$6:$C$35,"Transportation: General Supplies", $E$6:$E$35)</f>
        <v>0</v>
      </c>
    </row>
    <row r="52" spans="8:9" x14ac:dyDescent="0.3">
      <c r="H52" s="10" t="s">
        <v>59</v>
      </c>
      <c r="I52" s="9">
        <f>SUMIF($C$6:$C$35,"Transportation: Property", $E$6:$E$35)</f>
        <v>0</v>
      </c>
    </row>
    <row r="53" spans="8:9" x14ac:dyDescent="0.3">
      <c r="H53" s="10"/>
      <c r="I53" s="9"/>
    </row>
    <row r="54" spans="8:9" x14ac:dyDescent="0.3">
      <c r="H54" s="8" t="s">
        <v>91</v>
      </c>
      <c r="I54" s="9">
        <f>SUMIF($C$6:$C$35,"Community Services Operations: Salary (Cert./Non Cert.)", $E$6:$E$35)</f>
        <v>0</v>
      </c>
    </row>
    <row r="55" spans="8:9" x14ac:dyDescent="0.3">
      <c r="H55" s="8" t="s">
        <v>92</v>
      </c>
      <c r="I55" s="9">
        <f>SUMIF($C$6:$C$35,"Community Services Operations: Benefits (Cert./Non Cert.)", $E$6:$E$35)</f>
        <v>0</v>
      </c>
    </row>
    <row r="56" spans="8:9" x14ac:dyDescent="0.3">
      <c r="H56" s="10" t="s">
        <v>60</v>
      </c>
      <c r="I56" s="9">
        <f>SUMIF($C$6:$C$35,"Community Services Operations: Professional Services", $E$6:$E$35)</f>
        <v>0</v>
      </c>
    </row>
    <row r="57" spans="8:9" x14ac:dyDescent="0.3">
      <c r="H57" s="10" t="s">
        <v>61</v>
      </c>
      <c r="I57" s="9">
        <f>SUMIF($C$6:$C$35,"Community Services Operations: Rentals", $E$6:$E$35)</f>
        <v>0</v>
      </c>
    </row>
    <row r="58" spans="8:9" x14ac:dyDescent="0.3">
      <c r="H58" s="10" t="s">
        <v>62</v>
      </c>
      <c r="I58" s="9">
        <f>SUMIF($C$6:$C$35,"Community Services Operations: Other Purchased Services", $E$6:$E$35)</f>
        <v>0</v>
      </c>
    </row>
    <row r="59" spans="8:9" x14ac:dyDescent="0.3">
      <c r="H59" s="10" t="s">
        <v>63</v>
      </c>
      <c r="I59" s="9">
        <f>SUMIF($C$6:$C$35,"Community Services Operations: General Supplies", $E$6:$E$35)</f>
        <v>0</v>
      </c>
    </row>
    <row r="60" spans="8:9" x14ac:dyDescent="0.3">
      <c r="H60" s="10" t="s">
        <v>64</v>
      </c>
      <c r="I60" s="9">
        <f>SUMIF($C$6:$C$35,"Community Services Operations: Property", $E$6:$E$35)</f>
        <v>0</v>
      </c>
    </row>
    <row r="61" spans="8:9" x14ac:dyDescent="0.3">
      <c r="H61" s="10"/>
      <c r="I61" s="9"/>
    </row>
    <row r="62" spans="8:9" x14ac:dyDescent="0.3">
      <c r="H62" s="11" t="s">
        <v>65</v>
      </c>
      <c r="I62" s="9">
        <f>SUMIF($C$6:$C$35,"Indirect Cost Used", $E$6:$E$35)</f>
        <v>0</v>
      </c>
    </row>
    <row r="63" spans="8:9" x14ac:dyDescent="0.3">
      <c r="H63" s="184"/>
      <c r="I63" s="185"/>
    </row>
    <row r="64" spans="8:9" ht="15.6" x14ac:dyDescent="0.3">
      <c r="H64" s="165" t="s">
        <v>71</v>
      </c>
      <c r="I64" s="54">
        <f>((SUM(I6:I62))-I63)</f>
        <v>0</v>
      </c>
    </row>
    <row r="74" ht="14.4" customHeight="1" x14ac:dyDescent="0.3"/>
  </sheetData>
  <sheetProtection algorithmName="SHA-512" hashValue="FwudVhO0AHI9+gifV3NUJ6k2qzT5TsVjCalislkot6kr0sVnKjaRCwlZgmdZzo4eQMidj39sOISH2lR5chsoRg==" saltValue="vvXEUy2A/n7kjFZzt8nLhg==" spinCount="100000" sheet="1" objects="1" scenarios="1" selectLockedCells="1"/>
  <mergeCells count="35">
    <mergeCell ref="C35:D35"/>
    <mergeCell ref="C37:D37"/>
    <mergeCell ref="C38:D38"/>
    <mergeCell ref="C30:D30"/>
    <mergeCell ref="C31:D31"/>
    <mergeCell ref="C32:D32"/>
    <mergeCell ref="C33:D33"/>
    <mergeCell ref="C34:D34"/>
    <mergeCell ref="C25:D25"/>
    <mergeCell ref="C26:D26"/>
    <mergeCell ref="C27:D27"/>
    <mergeCell ref="C28:D28"/>
    <mergeCell ref="C29:D29"/>
    <mergeCell ref="C20:D20"/>
    <mergeCell ref="C21:D21"/>
    <mergeCell ref="C22:D22"/>
    <mergeCell ref="C23:D23"/>
    <mergeCell ref="C24:D24"/>
    <mergeCell ref="C15:D15"/>
    <mergeCell ref="C16:D16"/>
    <mergeCell ref="C17:D17"/>
    <mergeCell ref="C18:D18"/>
    <mergeCell ref="C19:D19"/>
    <mergeCell ref="A1:I1"/>
    <mergeCell ref="A2:I3"/>
    <mergeCell ref="C5:D5"/>
    <mergeCell ref="C6:D6"/>
    <mergeCell ref="C7:D7"/>
    <mergeCell ref="C13:D13"/>
    <mergeCell ref="C14:D14"/>
    <mergeCell ref="C8:D8"/>
    <mergeCell ref="C9:D9"/>
    <mergeCell ref="C10:D10"/>
    <mergeCell ref="C11:D11"/>
    <mergeCell ref="C12:D12"/>
  </mergeCells>
  <conditionalFormatting sqref="H6:I63">
    <cfRule type="expression" dxfId="156" priority="5">
      <formula>MOD(ROW(),2)=0</formula>
    </cfRule>
  </conditionalFormatting>
  <conditionalFormatting sqref="E36">
    <cfRule type="cellIs" dxfId="155" priority="2" operator="lessThan">
      <formula>$E$37</formula>
    </cfRule>
    <cfRule type="cellIs" dxfId="154" priority="3" operator="greaterThan">
      <formula>$E$37</formula>
    </cfRule>
    <cfRule type="cellIs" dxfId="153" priority="4" operator="equal">
      <formula>$E$37</formula>
    </cfRule>
  </conditionalFormatting>
  <dataValidations count="3">
    <dataValidation type="list" allowBlank="1" showInputMessage="1" showErrorMessage="1" sqref="B6:B35" xr:uid="{0A728518-A0F6-4610-9E1F-B2A9859D2CAE}">
      <formula1>"1,2,3, Indirect Cost, Admin"</formula1>
    </dataValidation>
    <dataValidation type="list" allowBlank="1" showInputMessage="1" showErrorMessage="1" promptTitle="Select Budget Category" sqref="C6:C35" xr:uid="{722A97B1-0BCC-4F77-9316-9E977A1E63BF}">
      <formula1>$H$6:$H$63</formula1>
    </dataValidation>
    <dataValidation type="list" allowBlank="1" showInputMessage="1" showErrorMessage="1" promptTitle="Select Budget Category" sqref="C5" xr:uid="{A2AAFE9D-C997-4884-9DCC-F56F13BDD41E}">
      <formula1>$H$6:$H$62</formula1>
    </dataValidation>
  </dataValidations>
  <hyperlinks>
    <hyperlink ref="C4" location="'Budget Category'!A1" display="Budget Category" xr:uid="{22B2D968-4FE2-42AF-AA2A-CEF1395FB504}"/>
  </hyperlinks>
  <pageMargins left="0.7" right="0.7" top="0.75" bottom="0.75" header="0.3" footer="0.3"/>
  <pageSetup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1C043-7A14-4CA5-B0D7-5F4EF7ECB92B}">
  <sheetPr codeName="Sheet14">
    <tabColor theme="5" tint="-0.249977111117893"/>
  </sheetPr>
  <dimension ref="A1:N30"/>
  <sheetViews>
    <sheetView showGridLines="0" topLeftCell="A16" zoomScaleNormal="100" workbookViewId="0">
      <selection activeCell="C4" sqref="C4:D4"/>
    </sheetView>
  </sheetViews>
  <sheetFormatPr defaultColWidth="8.88671875" defaultRowHeight="14.4" x14ac:dyDescent="0.3"/>
  <cols>
    <col min="1" max="1" width="17.44140625" style="78" customWidth="1"/>
    <col min="2" max="2" width="23.88671875" style="78" customWidth="1"/>
    <col min="3" max="3" width="4.6640625" style="78" customWidth="1"/>
    <col min="4" max="4" width="11.88671875" style="78" customWidth="1"/>
    <col min="5" max="5" width="12.33203125" style="78" customWidth="1"/>
    <col min="6" max="6" width="4.88671875" style="78" customWidth="1"/>
    <col min="7" max="7" width="15.88671875" style="78" customWidth="1"/>
    <col min="8" max="8" width="11.88671875" style="78" customWidth="1"/>
    <col min="9" max="9" width="12.109375" style="78" customWidth="1"/>
    <col min="10" max="10" width="11.44140625" style="78" customWidth="1"/>
    <col min="11" max="11" width="12.5546875" style="78" customWidth="1"/>
    <col min="12" max="12" width="14" style="78" customWidth="1"/>
    <col min="13" max="13" width="15" style="78" customWidth="1"/>
    <col min="14" max="16384" width="8.88671875" style="78"/>
  </cols>
  <sheetData>
    <row r="1" spans="1:13" ht="43.2" customHeight="1" x14ac:dyDescent="0.3">
      <c r="A1" s="704" t="s">
        <v>429</v>
      </c>
      <c r="B1" s="704"/>
      <c r="C1" s="704"/>
      <c r="D1" s="704"/>
      <c r="E1" s="704"/>
      <c r="F1" s="704"/>
      <c r="G1" s="704"/>
      <c r="H1" s="704"/>
      <c r="I1" s="704"/>
      <c r="J1" s="704"/>
      <c r="K1" s="704"/>
      <c r="L1" s="704"/>
      <c r="M1" s="704"/>
    </row>
    <row r="2" spans="1:13" ht="15" x14ac:dyDescent="0.3">
      <c r="A2" s="565" t="s">
        <v>0</v>
      </c>
      <c r="B2" s="565"/>
      <c r="C2" s="565"/>
      <c r="D2" s="565"/>
      <c r="E2" s="565"/>
      <c r="F2" s="565"/>
      <c r="G2" s="565"/>
      <c r="H2" s="565"/>
      <c r="I2" s="565"/>
      <c r="J2" s="565"/>
      <c r="K2" s="565"/>
      <c r="L2" s="565"/>
      <c r="M2" s="565"/>
    </row>
    <row r="3" spans="1:13" x14ac:dyDescent="0.3">
      <c r="A3" s="566" t="s">
        <v>70</v>
      </c>
      <c r="B3" s="566"/>
      <c r="C3" s="572">
        <v>110</v>
      </c>
      <c r="D3" s="573"/>
      <c r="E3" s="572" t="s">
        <v>1</v>
      </c>
      <c r="F3" s="573"/>
      <c r="G3" s="79" t="s">
        <v>2</v>
      </c>
      <c r="H3" s="79">
        <v>440</v>
      </c>
      <c r="I3" s="79" t="s">
        <v>3</v>
      </c>
      <c r="J3" s="79" t="s">
        <v>4</v>
      </c>
      <c r="K3" s="79" t="s">
        <v>5</v>
      </c>
      <c r="L3" s="79">
        <v>910</v>
      </c>
      <c r="M3" s="80"/>
    </row>
    <row r="4" spans="1:13" x14ac:dyDescent="0.3">
      <c r="A4" s="567" t="s">
        <v>6</v>
      </c>
      <c r="B4" s="568" t="s">
        <v>7</v>
      </c>
      <c r="C4" s="569" t="s">
        <v>8</v>
      </c>
      <c r="D4" s="569"/>
      <c r="E4" s="569" t="s">
        <v>9</v>
      </c>
      <c r="F4" s="569"/>
      <c r="G4" s="570" t="s">
        <v>10</v>
      </c>
      <c r="H4" s="570" t="s">
        <v>11</v>
      </c>
      <c r="I4" s="570" t="s">
        <v>12</v>
      </c>
      <c r="J4" s="570" t="s">
        <v>13</v>
      </c>
      <c r="K4" s="570" t="s">
        <v>14</v>
      </c>
      <c r="L4" s="570" t="s">
        <v>15</v>
      </c>
      <c r="M4" s="571" t="s">
        <v>16</v>
      </c>
    </row>
    <row r="5" spans="1:13" ht="27" customHeight="1" x14ac:dyDescent="0.3">
      <c r="A5" s="567"/>
      <c r="B5" s="568"/>
      <c r="C5" s="574" t="s">
        <v>79</v>
      </c>
      <c r="D5" s="575"/>
      <c r="E5" s="574" t="s">
        <v>80</v>
      </c>
      <c r="F5" s="575"/>
      <c r="G5" s="570"/>
      <c r="H5" s="570"/>
      <c r="I5" s="570"/>
      <c r="J5" s="570"/>
      <c r="K5" s="570"/>
      <c r="L5" s="570"/>
      <c r="M5" s="571"/>
    </row>
    <row r="6" spans="1:13" x14ac:dyDescent="0.3">
      <c r="A6" s="81">
        <v>11000</v>
      </c>
      <c r="B6" s="81" t="s">
        <v>17</v>
      </c>
      <c r="C6" s="578">
        <f>'Amend#1 LEA Activities'!I6+'Amend#1 NPS Activities'!H6</f>
        <v>0</v>
      </c>
      <c r="D6" s="579"/>
      <c r="E6" s="578">
        <f>'Amend#1 LEA Activities'!I7+'Amend#1 NPS Activities'!H7</f>
        <v>0</v>
      </c>
      <c r="F6" s="579"/>
      <c r="G6" s="82">
        <f>'Amend#1 LEA Activities'!I8+'Amend#1 NPS Activities'!H8</f>
        <v>0</v>
      </c>
      <c r="H6" s="82">
        <f>'Amend#1 LEA Activities'!I9+'Amend#1 NPS Activities'!H9</f>
        <v>0</v>
      </c>
      <c r="I6" s="82">
        <f>'Amend#1 LEA Activities'!I10+'Amend#1 NPS Activities'!H10</f>
        <v>0</v>
      </c>
      <c r="J6" s="82">
        <f>'Amend#1 LEA Activities'!I11+'Amend#1 NPS Activities'!H11</f>
        <v>0</v>
      </c>
      <c r="K6" s="82">
        <f>'Amend#1 LEA Activities'!I12+'Amend#1 NPS Activities'!H12</f>
        <v>0</v>
      </c>
      <c r="L6" s="82">
        <f>'Amend#1 LEA Activities'!I13+'Amend#1 NPS Activities'!H13</f>
        <v>0</v>
      </c>
      <c r="M6" s="82">
        <f t="shared" ref="M6:M13" si="0">SUM(C6:L6)</f>
        <v>0</v>
      </c>
    </row>
    <row r="7" spans="1:13" x14ac:dyDescent="0.3">
      <c r="A7" s="81">
        <v>21000</v>
      </c>
      <c r="B7" s="81" t="s">
        <v>18</v>
      </c>
      <c r="C7" s="578">
        <f>'Amend#1 LEA Activities'!I14+'Amend#1 NPS Activities'!H14</f>
        <v>0</v>
      </c>
      <c r="D7" s="579"/>
      <c r="E7" s="578">
        <f>'Amend#1 LEA Activities'!I15+'Amend#1 NPS Activities'!H15</f>
        <v>0</v>
      </c>
      <c r="F7" s="579"/>
      <c r="G7" s="82">
        <f>'Amend#1 LEA Activities'!I16+'Amend#1 NPS Activities'!H16</f>
        <v>0</v>
      </c>
      <c r="H7" s="82">
        <f>'Amend#1 LEA Activities'!I17+'Amend#1 NPS Activities'!H17</f>
        <v>0</v>
      </c>
      <c r="I7" s="82">
        <f>'Amend#1 LEA Activities'!I18+'Amend#1 NPS Activities'!H18</f>
        <v>0</v>
      </c>
      <c r="J7" s="82">
        <f>'Amend#1 LEA Activities'!I19+'Amend#1 NPS Activities'!H19</f>
        <v>0</v>
      </c>
      <c r="K7" s="82">
        <f>'Amend#1 LEA Activities'!I20+'Amend#1 NPS Activities'!H20</f>
        <v>0</v>
      </c>
      <c r="L7" s="82">
        <f>'Amend#1 LEA Activities'!I21+'Amend#1 NPS Activities'!H21</f>
        <v>0</v>
      </c>
      <c r="M7" s="82">
        <f t="shared" si="0"/>
        <v>0</v>
      </c>
    </row>
    <row r="8" spans="1:13" x14ac:dyDescent="0.3">
      <c r="A8" s="81">
        <v>22100</v>
      </c>
      <c r="B8" s="81" t="s">
        <v>2066</v>
      </c>
      <c r="C8" s="578">
        <f>'Amend#1 LEA Activities'!I22+'Amend#1 NPS Activities'!H22</f>
        <v>0</v>
      </c>
      <c r="D8" s="579"/>
      <c r="E8" s="578">
        <f>'Amend#1 LEA Activities'!I23+'Amend#1 NPS Activities'!H23</f>
        <v>0</v>
      </c>
      <c r="F8" s="579"/>
      <c r="G8" s="82">
        <f>'Amend#1 LEA Activities'!I24+'Amend#1 NPS Activities'!H24</f>
        <v>0</v>
      </c>
      <c r="H8" s="82">
        <f>'Amend#1 LEA Activities'!I25+'Amend#1 NPS Activities'!H25</f>
        <v>0</v>
      </c>
      <c r="I8" s="82">
        <f>'Amend#1 LEA Activities'!I26+'Amend#1 NPS Activities'!H26</f>
        <v>0</v>
      </c>
      <c r="J8" s="82">
        <f>'Amend#1 LEA Activities'!I27+'Amend#1 NPS Activities'!H27</f>
        <v>0</v>
      </c>
      <c r="K8" s="82">
        <f>'Amend#1 LEA Activities'!I28+'Amend#1 NPS Activities'!H28</f>
        <v>0</v>
      </c>
      <c r="L8" s="82">
        <f>'Amend#1 LEA Activities'!I29+'Amend#1 NPS Activities'!H29</f>
        <v>0</v>
      </c>
      <c r="M8" s="82">
        <f t="shared" si="0"/>
        <v>0</v>
      </c>
    </row>
    <row r="9" spans="1:13" ht="27.6" x14ac:dyDescent="0.3">
      <c r="A9" s="83">
        <v>22900</v>
      </c>
      <c r="B9" s="81" t="s">
        <v>28</v>
      </c>
      <c r="C9" s="578">
        <f>'Amend#1 LEA Activities'!I30+'Amend#1 NPS Activities'!H30</f>
        <v>0</v>
      </c>
      <c r="D9" s="579"/>
      <c r="E9" s="578">
        <f>'Amend#1 LEA Activities'!I31+'Amend#1 NPS Activities'!H31</f>
        <v>0</v>
      </c>
      <c r="F9" s="579"/>
      <c r="G9" s="82">
        <f>'Amend#1 LEA Activities'!I32+'Amend#1 NPS Activities'!H32</f>
        <v>0</v>
      </c>
      <c r="H9" s="82">
        <f>'Amend#1 LEA Activities'!I33+'Amend#1 NPS Activities'!H33</f>
        <v>0</v>
      </c>
      <c r="I9" s="82">
        <f>'Amend#1 LEA Activities'!I34+'Amend#1 NPS Activities'!H34</f>
        <v>0</v>
      </c>
      <c r="J9" s="82">
        <f>'Amend#1 LEA Activities'!I35+'Amend#1 NPS Activities'!H35</f>
        <v>0</v>
      </c>
      <c r="K9" s="82">
        <f>'Amend#1 LEA Activities'!I36+'Amend#1 NPS Activities'!H36</f>
        <v>0</v>
      </c>
      <c r="L9" s="82">
        <f>'Amend#1 LEA Activities'!I37+'Amend#1 NPS Activities'!H37</f>
        <v>0</v>
      </c>
      <c r="M9" s="82">
        <f t="shared" si="0"/>
        <v>0</v>
      </c>
    </row>
    <row r="10" spans="1:13" x14ac:dyDescent="0.3">
      <c r="A10" s="83">
        <v>25191</v>
      </c>
      <c r="B10" s="81" t="s">
        <v>19</v>
      </c>
      <c r="C10" s="578"/>
      <c r="D10" s="579"/>
      <c r="E10" s="578"/>
      <c r="F10" s="579"/>
      <c r="G10" s="82"/>
      <c r="H10" s="82"/>
      <c r="I10" s="82"/>
      <c r="J10" s="82"/>
      <c r="K10" s="82"/>
      <c r="L10" s="82"/>
      <c r="M10" s="82">
        <f t="shared" si="0"/>
        <v>0</v>
      </c>
    </row>
    <row r="11" spans="1:13" x14ac:dyDescent="0.3">
      <c r="A11" s="83">
        <v>26000</v>
      </c>
      <c r="B11" s="81" t="s">
        <v>20</v>
      </c>
      <c r="C11" s="578">
        <f>'Amend#1 LEA Activities'!I38+'Amend#1 NPS Activities'!H38</f>
        <v>0</v>
      </c>
      <c r="D11" s="579"/>
      <c r="E11" s="578">
        <f>'Amend#1 LEA Activities'!I39+'Amend#1 NPS Activities'!H39</f>
        <v>0</v>
      </c>
      <c r="F11" s="579"/>
      <c r="G11" s="82">
        <f>'Amend#1 LEA Activities'!I40+'Amend#1 NPS Activities'!H40</f>
        <v>0</v>
      </c>
      <c r="H11" s="82">
        <f>'Amend#1 LEA Activities'!I41+'Amend#1 NPS Activities'!H41</f>
        <v>0</v>
      </c>
      <c r="I11" s="82">
        <f>'Amend#1 LEA Activities'!I42+'Amend#1 NPS Activities'!H42</f>
        <v>0</v>
      </c>
      <c r="J11" s="82">
        <f>'Amend#1 LEA Activities'!I43+'Amend#1 NPS Activities'!H43</f>
        <v>0</v>
      </c>
      <c r="K11" s="82">
        <f>'Amend#1 LEA Activities'!I44+'Amend#1 NPS Activities'!H44</f>
        <v>0</v>
      </c>
      <c r="L11" s="82">
        <f>'Amend#1 LEA Activities'!I45+'Amend#1 NPS Activities'!H45</f>
        <v>0</v>
      </c>
      <c r="M11" s="82">
        <f t="shared" si="0"/>
        <v>0</v>
      </c>
    </row>
    <row r="12" spans="1:13" x14ac:dyDescent="0.3">
      <c r="A12" s="81">
        <v>27000</v>
      </c>
      <c r="B12" s="81" t="s">
        <v>21</v>
      </c>
      <c r="C12" s="578">
        <f>'Amend#1 LEA Activities'!I46+'Amend#1 NPS Activities'!H46</f>
        <v>0</v>
      </c>
      <c r="D12" s="579"/>
      <c r="E12" s="578">
        <f>'Amend#1 LEA Activities'!I47+'Amend#1 NPS Activities'!H47</f>
        <v>0</v>
      </c>
      <c r="F12" s="579"/>
      <c r="G12" s="82">
        <f>'Amend#1 LEA Activities'!I48+'Amend#1 NPS Activities'!H48</f>
        <v>0</v>
      </c>
      <c r="H12" s="82">
        <f>'Amend#1 LEA Activities'!I49+'Amend#1 NPS Activities'!H49</f>
        <v>0</v>
      </c>
      <c r="I12" s="82">
        <f>'Amend#1 LEA Activities'!I50+'Amend#1 NPS Activities'!H50</f>
        <v>0</v>
      </c>
      <c r="J12" s="82">
        <f>'Amend#1 LEA Activities'!I51+'Amend#1 NPS Activities'!H51</f>
        <v>0</v>
      </c>
      <c r="K12" s="82">
        <f>'Amend#1 LEA Activities'!I52+'Amend#1 NPS Activities'!H52</f>
        <v>0</v>
      </c>
      <c r="L12" s="82">
        <f>'Amend#1 LEA Activities'!I53+'Amend#1 NPS Activities'!H53</f>
        <v>0</v>
      </c>
      <c r="M12" s="82">
        <f t="shared" si="0"/>
        <v>0</v>
      </c>
    </row>
    <row r="13" spans="1:13" ht="27.6" x14ac:dyDescent="0.3">
      <c r="A13" s="81">
        <v>33000</v>
      </c>
      <c r="B13" s="81" t="s">
        <v>22</v>
      </c>
      <c r="C13" s="578">
        <f>'Amend#1 LEA Activities'!I54+'Amend#1 NPS Activities'!H54</f>
        <v>0</v>
      </c>
      <c r="D13" s="579"/>
      <c r="E13" s="578">
        <f>'Amend#1 LEA Activities'!I55+'Amend#1 NPS Activities'!H55</f>
        <v>0</v>
      </c>
      <c r="F13" s="579"/>
      <c r="G13" s="82">
        <f>'Amend#1 LEA Activities'!I56+'Amend#1 NPS Activities'!H56</f>
        <v>0</v>
      </c>
      <c r="H13" s="82">
        <f>'Amend#1 LEA Activities'!I57+'Amend#1 NPS Activities'!H57</f>
        <v>0</v>
      </c>
      <c r="I13" s="82">
        <f>'Amend#1 LEA Activities'!I58+'Amend#1 NPS Activities'!H58</f>
        <v>0</v>
      </c>
      <c r="J13" s="82">
        <f>'Amend#1 LEA Activities'!I59+'Amend#1 NPS Activities'!H59</f>
        <v>0</v>
      </c>
      <c r="K13" s="82">
        <f>'Amend#1 LEA Activities'!I60+'Amend#1 NPS Activities'!H60</f>
        <v>0</v>
      </c>
      <c r="L13" s="82">
        <f>'Amend#1 LEA Activities'!I61+'Amend#1 NPS Activities'!H61</f>
        <v>0</v>
      </c>
      <c r="M13" s="82">
        <f t="shared" si="0"/>
        <v>0</v>
      </c>
    </row>
    <row r="14" spans="1:13" x14ac:dyDescent="0.3">
      <c r="A14" s="192"/>
      <c r="B14" s="192"/>
      <c r="C14" s="731"/>
      <c r="D14" s="732"/>
      <c r="E14" s="731"/>
      <c r="F14" s="732"/>
      <c r="G14" s="193"/>
      <c r="H14" s="193"/>
      <c r="I14" s="193"/>
      <c r="J14" s="193"/>
      <c r="K14" s="193"/>
      <c r="L14" s="194"/>
      <c r="M14" s="194"/>
    </row>
    <row r="15" spans="1:13" x14ac:dyDescent="0.3">
      <c r="A15" s="80"/>
      <c r="B15" s="85" t="s">
        <v>23</v>
      </c>
      <c r="C15" s="578">
        <f t="shared" ref="C15:L15" si="1">SUM(C6:C14)</f>
        <v>0</v>
      </c>
      <c r="D15" s="579"/>
      <c r="E15" s="578">
        <f t="shared" si="1"/>
        <v>0</v>
      </c>
      <c r="F15" s="579"/>
      <c r="G15" s="82">
        <f>SUM(G6:G14)</f>
        <v>0</v>
      </c>
      <c r="H15" s="82">
        <f t="shared" si="1"/>
        <v>0</v>
      </c>
      <c r="I15" s="82">
        <f t="shared" si="1"/>
        <v>0</v>
      </c>
      <c r="J15" s="82">
        <f t="shared" si="1"/>
        <v>0</v>
      </c>
      <c r="K15" s="82">
        <f t="shared" si="1"/>
        <v>0</v>
      </c>
      <c r="L15" s="82">
        <f t="shared" si="1"/>
        <v>0</v>
      </c>
      <c r="M15" s="86">
        <f>((SUM(M6:M14)-L15))</f>
        <v>0</v>
      </c>
    </row>
    <row r="16" spans="1:13" ht="15" thickBot="1" x14ac:dyDescent="0.35">
      <c r="A16" s="168"/>
      <c r="B16" s="169"/>
      <c r="C16" s="580"/>
      <c r="D16" s="581"/>
      <c r="E16" s="580"/>
      <c r="F16" s="581"/>
      <c r="G16" s="170"/>
      <c r="H16" s="171"/>
      <c r="I16" s="171"/>
      <c r="J16" s="171"/>
      <c r="K16" s="171"/>
      <c r="L16" s="172" t="s">
        <v>29</v>
      </c>
      <c r="M16" s="172">
        <f>SUM(M6:M14)</f>
        <v>0</v>
      </c>
    </row>
    <row r="17" spans="1:14" x14ac:dyDescent="0.3">
      <c r="A17" s="584" t="s">
        <v>67</v>
      </c>
      <c r="B17" s="585"/>
      <c r="C17" s="585"/>
      <c r="D17" s="585"/>
      <c r="E17" s="585"/>
      <c r="F17" s="585"/>
      <c r="G17" s="585"/>
      <c r="H17" s="585"/>
      <c r="I17" s="585"/>
      <c r="J17" s="585"/>
      <c r="K17" s="585"/>
      <c r="L17" s="586"/>
      <c r="M17" s="167">
        <f>'Amend#1 LEA Activities'!I64</f>
        <v>0</v>
      </c>
    </row>
    <row r="18" spans="1:14" x14ac:dyDescent="0.3">
      <c r="A18" s="88"/>
      <c r="B18" s="89"/>
      <c r="C18" s="89"/>
      <c r="D18" s="89"/>
      <c r="E18" s="89"/>
      <c r="F18" s="89"/>
      <c r="G18" s="89"/>
      <c r="H18" s="89"/>
      <c r="I18" s="89"/>
      <c r="J18" s="89"/>
      <c r="K18" s="89"/>
      <c r="L18" s="180" t="s">
        <v>2003</v>
      </c>
      <c r="M18" s="87">
        <f>'Amend#1 NPS Activities'!H64</f>
        <v>0</v>
      </c>
    </row>
    <row r="19" spans="1:14" x14ac:dyDescent="0.3">
      <c r="A19" s="174" t="s">
        <v>72</v>
      </c>
      <c r="B19" s="582">
        <f>'Main Budget'!B19</f>
        <v>0</v>
      </c>
      <c r="C19" s="583"/>
      <c r="D19" s="576" t="s">
        <v>24</v>
      </c>
      <c r="E19" s="576"/>
      <c r="F19" s="576"/>
      <c r="G19" s="576"/>
      <c r="H19" s="576"/>
      <c r="I19" s="576"/>
      <c r="J19" s="576"/>
      <c r="K19" s="576"/>
      <c r="L19" s="576"/>
      <c r="M19" s="153"/>
    </row>
    <row r="20" spans="1:14" x14ac:dyDescent="0.3">
      <c r="A20" s="577" t="s">
        <v>25</v>
      </c>
      <c r="B20" s="577"/>
      <c r="C20" s="577"/>
      <c r="D20" s="577"/>
      <c r="E20" s="577"/>
      <c r="F20" s="577"/>
      <c r="G20" s="577"/>
      <c r="H20" s="577"/>
      <c r="I20" s="577"/>
      <c r="J20" s="577"/>
      <c r="K20" s="577"/>
      <c r="L20" s="577"/>
      <c r="M20" s="90">
        <f>SUM(M16,M19)-K15</f>
        <v>0</v>
      </c>
    </row>
    <row r="21" spans="1:14" x14ac:dyDescent="0.3">
      <c r="A21" s="577" t="s">
        <v>26</v>
      </c>
      <c r="B21" s="577"/>
      <c r="C21" s="577"/>
      <c r="D21" s="577"/>
      <c r="E21" s="577"/>
      <c r="F21" s="577"/>
      <c r="G21" s="577"/>
      <c r="H21" s="577"/>
      <c r="I21" s="577"/>
      <c r="J21" s="577"/>
      <c r="K21" s="577"/>
      <c r="L21" s="577"/>
      <c r="M21" s="87">
        <f>ROUND((B19/100)*M20,2)</f>
        <v>0</v>
      </c>
    </row>
    <row r="22" spans="1:14" x14ac:dyDescent="0.3">
      <c r="A22" s="577" t="s">
        <v>27</v>
      </c>
      <c r="B22" s="577"/>
      <c r="C22" s="577"/>
      <c r="D22" s="577"/>
      <c r="E22" s="577"/>
      <c r="F22" s="577"/>
      <c r="G22" s="577"/>
      <c r="H22" s="577"/>
      <c r="I22" s="577"/>
      <c r="J22" s="577"/>
      <c r="K22" s="577"/>
      <c r="L22" s="577"/>
      <c r="M22" s="173">
        <f>'Amend#1 LEA Activities'!I62+'Amend#1 NPS Activities'!H62</f>
        <v>0</v>
      </c>
    </row>
    <row r="23" spans="1:14" x14ac:dyDescent="0.3">
      <c r="A23" s="91"/>
      <c r="B23" s="91"/>
      <c r="C23" s="91"/>
      <c r="D23" s="91"/>
      <c r="E23" s="91"/>
      <c r="F23" s="91"/>
      <c r="G23" s="91"/>
      <c r="H23" s="91"/>
      <c r="I23" s="91"/>
      <c r="J23" s="91"/>
      <c r="K23" s="91"/>
      <c r="L23" s="91" t="s">
        <v>2012</v>
      </c>
      <c r="M23" s="87">
        <f>SUM(C9:L9)</f>
        <v>0</v>
      </c>
    </row>
    <row r="24" spans="1:14" x14ac:dyDescent="0.3">
      <c r="A24" s="595" t="s">
        <v>73</v>
      </c>
      <c r="B24" s="595"/>
      <c r="C24" s="595"/>
      <c r="D24" s="595"/>
      <c r="E24" s="595"/>
      <c r="F24" s="595"/>
      <c r="G24" s="595"/>
      <c r="H24" s="595"/>
      <c r="I24" s="595"/>
      <c r="J24" s="595"/>
      <c r="K24" s="595"/>
      <c r="L24" s="595"/>
      <c r="M24" s="86">
        <f>M16+M22</f>
        <v>0</v>
      </c>
      <c r="N24" s="181" t="e">
        <f>'Amend#1 Overview'!G13+G14</f>
        <v>#VALUE!</v>
      </c>
    </row>
    <row r="25" spans="1:14" ht="15.6" x14ac:dyDescent="0.3">
      <c r="A25" s="92"/>
      <c r="B25" s="92"/>
      <c r="C25" s="92"/>
      <c r="D25" s="92"/>
      <c r="E25" s="92"/>
      <c r="F25" s="92"/>
      <c r="G25" s="92"/>
      <c r="H25" s="93"/>
      <c r="I25" s="93"/>
      <c r="J25" s="93"/>
      <c r="K25" s="93"/>
      <c r="L25" s="93"/>
      <c r="M25" s="94"/>
    </row>
    <row r="26" spans="1:14" ht="16.2" customHeight="1" x14ac:dyDescent="0.3">
      <c r="A26" s="594" t="s">
        <v>147</v>
      </c>
      <c r="B26" s="594"/>
      <c r="C26" s="594"/>
      <c r="D26" s="594"/>
      <c r="E26" s="594"/>
      <c r="F26" s="594"/>
      <c r="G26" s="95" t="s">
        <v>31</v>
      </c>
      <c r="H26" s="96" t="s">
        <v>74</v>
      </c>
      <c r="I26" s="97"/>
      <c r="J26" s="98"/>
    </row>
    <row r="27" spans="1:14" ht="22.95" customHeight="1" x14ac:dyDescent="0.3">
      <c r="A27" s="588" t="s">
        <v>144</v>
      </c>
      <c r="B27" s="589"/>
      <c r="C27" s="589"/>
      <c r="D27" s="589"/>
      <c r="E27" s="589"/>
      <c r="F27" s="590"/>
      <c r="G27" s="278">
        <f>SUMIF('Amend#1 LEA Activities'!B6:B35,"1",'Amend#1 LEA Activities'!E6:E35)</f>
        <v>0</v>
      </c>
      <c r="H27" s="100" t="str">
        <f>IFERROR(SUM(G27/Overview!G14),"")</f>
        <v/>
      </c>
      <c r="I27" s="101"/>
      <c r="J27" s="102"/>
    </row>
    <row r="28" spans="1:14" ht="20.399999999999999" customHeight="1" x14ac:dyDescent="0.3">
      <c r="A28" s="591" t="s">
        <v>145</v>
      </c>
      <c r="B28" s="592"/>
      <c r="C28" s="592"/>
      <c r="D28" s="592"/>
      <c r="E28" s="592"/>
      <c r="F28" s="593"/>
      <c r="G28" s="278">
        <f>SUMIF('Amend#1 LEA Activities'!B6:B35,"2",'Amend#1 LEA Activities'!E6:E35)</f>
        <v>0</v>
      </c>
      <c r="H28" s="100" t="str">
        <f>IFERROR(SUM(G28/Overview!G14),"")</f>
        <v/>
      </c>
      <c r="I28" s="101"/>
      <c r="J28" s="102"/>
    </row>
    <row r="29" spans="1:14" ht="21" customHeight="1" x14ac:dyDescent="0.3">
      <c r="A29" s="591" t="s">
        <v>146</v>
      </c>
      <c r="B29" s="592"/>
      <c r="C29" s="592"/>
      <c r="D29" s="592"/>
      <c r="E29" s="592"/>
      <c r="F29" s="593"/>
      <c r="G29" s="278">
        <f>SUMIF('Amend#1 LEA Activities'!B6:B35,"3",'Amend#1 LEA Activities'!E6:E35)</f>
        <v>0</v>
      </c>
      <c r="H29" s="100" t="str">
        <f>IFERROR(SUM(G29/Overview!G14),"")</f>
        <v/>
      </c>
      <c r="I29" s="101"/>
      <c r="J29" s="102"/>
      <c r="K29" s="596"/>
      <c r="L29" s="596"/>
      <c r="M29" s="103"/>
    </row>
    <row r="30" spans="1:14" ht="22.95" customHeight="1" x14ac:dyDescent="0.3">
      <c r="A30" s="104"/>
      <c r="B30" s="104"/>
      <c r="C30" s="104"/>
      <c r="D30" s="587"/>
      <c r="E30" s="587"/>
      <c r="F30" s="587"/>
      <c r="G30" s="587"/>
      <c r="H30" s="105"/>
      <c r="I30" s="105"/>
      <c r="J30" s="106"/>
      <c r="K30" s="596"/>
      <c r="L30" s="596"/>
      <c r="M30" s="103"/>
    </row>
  </sheetData>
  <sheetProtection algorithmName="SHA-512" hashValue="0ILSjsrWlXXVVCKrc1YEGw7Rp0/5n9DULP9xNmPFb6KxwQjDvL/FHhXjGYI8AgH3QvhfASUieu6mHVD62pk6IA==" saltValue="VeVvpK1FZWou1cqAEb97sg==" spinCount="100000" sheet="1" objects="1" scenarios="1" selectLockedCells="1"/>
  <protectedRanges>
    <protectedRange algorithmName="SHA-512" hashValue="3b95bpvQjq0s58Os8PVjtFd5QufcRL5YDzBpab6JTWdhNWE+3Sew372NYJC9LyYwHdiLoG9+E1URQ/9gXw6M2g==" saltValue="Dc4ubrENfJ1JzZRbwmxr1Q==" spinCount="100000" sqref="M29:M30" name="Infrastructure"/>
    <protectedRange algorithmName="SHA-512" hashValue="VE+MMm4Tq2imO0b4cCfe/GLwo5/uojngjNFtz+gAM1c2BDwWuP/m5dHuk50rv/zQxkG1QadmD2mIZxE45SDDjQ==" saltValue="ZVp3gHcNtMIFaeXScHwgTQ==" spinCount="100000" sqref="G27:G29" name="Focus Area"/>
    <protectedRange algorithmName="SHA-512" hashValue="gmWeISesQPMhzvPqYovgcN9UEgd0Qz9m7L2OL3iTpt69X/6n0UP292d1N3RSvpGgIGeqEyqzc55mwxngwvAePw==" saltValue="fYwuXBuj4dlAVNgmXMHXmA==" spinCount="100000" sqref="C6:M13 C15:M15 C14:K14" name="Main Budget"/>
    <protectedRange algorithmName="SHA-512" hashValue="gmWeISesQPMhzvPqYovgcN9UEgd0Qz9m7L2OL3iTpt69X/6n0UP292d1N3RSvpGgIGeqEyqzc55mwxngwvAePw==" saltValue="fYwuXBuj4dlAVNgmXMHXmA==" spinCount="100000" sqref="L14:M14" name="Main Budget_1"/>
    <protectedRange algorithmName="SHA-512" hashValue="g94kMd79A/YYd0ADBad8mZMcZU2dwwfpSMxsE13ATz7R3GZjHsJQKg4bX2Qxb4n3xtTTwh/jVE9u2bu0jJr3Pg==" saltValue="iPGkUWOUuB1Ny8MQAQGXzg==" spinCount="100000" sqref="M21:M24" name="Totals_3"/>
    <protectedRange algorithmName="SHA-512" hashValue="g94kMd79A/YYd0ADBad8mZMcZU2dwwfpSMxsE13ATz7R3GZjHsJQKg4bX2Qxb4n3xtTTwh/jVE9u2bu0jJr3Pg==" saltValue="iPGkUWOUuB1Ny8MQAQGXzg==" spinCount="100000" sqref="M20" name="Totals"/>
  </protectedRanges>
  <mergeCells count="54">
    <mergeCell ref="M4:M5"/>
    <mergeCell ref="A1:M1"/>
    <mergeCell ref="A2:M2"/>
    <mergeCell ref="A3:B3"/>
    <mergeCell ref="C3:D3"/>
    <mergeCell ref="E3:F3"/>
    <mergeCell ref="A4:A5"/>
    <mergeCell ref="B4:B5"/>
    <mergeCell ref="C4:D4"/>
    <mergeCell ref="E4:F4"/>
    <mergeCell ref="G4:G5"/>
    <mergeCell ref="H4:H5"/>
    <mergeCell ref="I4:I5"/>
    <mergeCell ref="J4:J5"/>
    <mergeCell ref="K4:K5"/>
    <mergeCell ref="L4:L5"/>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A22:L22"/>
    <mergeCell ref="C14:D14"/>
    <mergeCell ref="E14:F14"/>
    <mergeCell ref="C15:D15"/>
    <mergeCell ref="E15:F15"/>
    <mergeCell ref="C16:D16"/>
    <mergeCell ref="E16:F16"/>
    <mergeCell ref="A17:L17"/>
    <mergeCell ref="B19:C19"/>
    <mergeCell ref="D19:L19"/>
    <mergeCell ref="A20:L20"/>
    <mergeCell ref="A21:L21"/>
    <mergeCell ref="D30:G30"/>
    <mergeCell ref="K30:L30"/>
    <mergeCell ref="A24:L24"/>
    <mergeCell ref="A26:F26"/>
    <mergeCell ref="A27:F27"/>
    <mergeCell ref="A28:F28"/>
    <mergeCell ref="A29:F29"/>
    <mergeCell ref="K29:L29"/>
  </mergeCells>
  <conditionalFormatting sqref="A6:C7 G6:M13 E6:E15 G15:M15 G14:K14 A9:C15 A8 C8">
    <cfRule type="expression" dxfId="152" priority="32">
      <formula>MOD(ROW(),2)=0</formula>
    </cfRule>
  </conditionalFormatting>
  <conditionalFormatting sqref="L14">
    <cfRule type="expression" dxfId="151" priority="19">
      <formula>MOD(ROW(),2)=0</formula>
    </cfRule>
  </conditionalFormatting>
  <conditionalFormatting sqref="M22">
    <cfRule type="expression" dxfId="150" priority="9">
      <formula>$M$22&lt;=$M$21</formula>
    </cfRule>
  </conditionalFormatting>
  <conditionalFormatting sqref="M22">
    <cfRule type="expression" dxfId="149" priority="11">
      <formula>$M$22&gt;$M$21</formula>
    </cfRule>
  </conditionalFormatting>
  <conditionalFormatting sqref="B8">
    <cfRule type="expression" dxfId="148" priority="1">
      <formula>MOD(ROW(),2)=0</formula>
    </cfRule>
  </conditionalFormatting>
  <hyperlinks>
    <hyperlink ref="A3:B3" location="'Budget Category'!A1" display="Object Code" xr:uid="{1388448C-5326-4258-8D6C-F0EC5F232250}"/>
  </hyperlinks>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24" operator="lessThan" id="{7E81A99D-3112-4CF6-ADBE-3168F5DB7577}">
            <xm:f>'Main Budget'!C6</xm:f>
            <x14:dxf>
              <font>
                <b/>
                <i val="0"/>
                <color rgb="FFFF0000"/>
              </font>
            </x14:dxf>
          </x14:cfRule>
          <x14:cfRule type="cellIs" priority="26" operator="greaterThan" id="{82603649-63B8-447E-AC94-FECD2AAC830E}">
            <xm:f>'Main Budget'!C6</xm:f>
            <x14:dxf>
              <font>
                <b/>
                <i val="0"/>
                <color rgb="FF92D050"/>
              </font>
            </x14:dxf>
          </x14:cfRule>
          <xm:sqref>C6:M13 C15:M15 C14:K14</xm:sqref>
        </x14:conditionalFormatting>
        <x14:conditionalFormatting xmlns:xm="http://schemas.microsoft.com/office/excel/2006/main">
          <x14:cfRule type="expression" priority="8" id="{64ADC75A-9650-42F0-9D19-0C7F1A9F4417}">
            <xm:f>$M$23&lt;=Overview!I15</xm:f>
            <x14:dxf>
              <fill>
                <patternFill>
                  <bgColor rgb="FF92D050"/>
                </patternFill>
              </fill>
            </x14:dxf>
          </x14:cfRule>
          <x14:cfRule type="expression" priority="10" id="{D6E95449-350E-4DBE-A9CD-9AC6C76E567B}">
            <xm:f>$M$23&gt;Overview!I15</xm:f>
            <x14:dxf>
              <font>
                <b/>
                <i val="0"/>
                <color theme="0"/>
              </font>
              <fill>
                <patternFill>
                  <bgColor rgb="FFFF0000"/>
                </patternFill>
              </fill>
            </x14:dxf>
          </x14:cfRule>
          <xm:sqref>M23</xm:sqref>
        </x14:conditionalFormatting>
        <x14:conditionalFormatting xmlns:xm="http://schemas.microsoft.com/office/excel/2006/main">
          <x14:cfRule type="expression" priority="6" id="{955EDB2D-3CDD-4CF7-8627-1A4F9B3C9AE2}">
            <xm:f>$M$18='Amend#1 Equitable Share'!K56</xm:f>
            <x14:dxf>
              <fill>
                <patternFill>
                  <bgColor rgb="FF92D050"/>
                </patternFill>
              </fill>
            </x14:dxf>
          </x14:cfRule>
          <x14:cfRule type="expression" priority="7" id="{04E87592-0E77-4255-836E-B9229ECB8C81}">
            <xm:f>$M$18&lt;&gt;'Amend#1 Equitable Share'!K56</xm:f>
            <x14:dxf>
              <fill>
                <patternFill>
                  <bgColor rgb="FFFF0000"/>
                </patternFill>
              </fill>
            </x14:dxf>
          </x14:cfRule>
          <xm:sqref>M18</xm:sqref>
        </x14:conditionalFormatting>
        <x14:conditionalFormatting xmlns:xm="http://schemas.microsoft.com/office/excel/2006/main">
          <x14:cfRule type="expression" priority="4" id="{B9EB269A-73A5-4AA4-A537-C49954E4DAA6}">
            <xm:f>$M$24&lt;&gt;'Amend#1 Overview'!$G$12</xm:f>
            <x14:dxf>
              <fill>
                <patternFill>
                  <bgColor rgb="FFFF0000"/>
                </patternFill>
              </fill>
            </x14:dxf>
          </x14:cfRule>
          <x14:cfRule type="expression" priority="5" id="{FDDC4FE9-19AF-47BF-AB05-68D63F7B89B1}">
            <xm:f>$M$24='Amend#1 Overview'!$G$12</xm:f>
            <x14:dxf>
              <fill>
                <patternFill>
                  <bgColor rgb="FF92D050"/>
                </patternFill>
              </fill>
            </x14:dxf>
          </x14:cfRule>
          <xm:sqref>M24</xm:sqref>
        </x14:conditionalFormatting>
        <x14:conditionalFormatting xmlns:xm="http://schemas.microsoft.com/office/excel/2006/main">
          <x14:cfRule type="expression" priority="2" id="{7D4F293F-B6FE-4272-84AB-35855F3AE497}">
            <xm:f>$M$17='Amend#1 Overview'!G14</xm:f>
            <x14:dxf>
              <fill>
                <patternFill>
                  <bgColor rgb="FF92D050"/>
                </patternFill>
              </fill>
            </x14:dxf>
          </x14:cfRule>
          <x14:cfRule type="expression" priority="3" id="{28023C28-11BA-4B2C-8D3A-DDC61AD407A9}">
            <xm:f>$M$17&lt;&gt;'Amend#1 Overview'!G14</xm:f>
            <x14:dxf>
              <fill>
                <patternFill>
                  <bgColor rgb="FFFF0000"/>
                </patternFill>
              </fill>
            </x14:dxf>
          </x14:cfRule>
          <xm:sqref>M17</xm:sqref>
        </x14:conditionalFormatting>
      </x14:conditionalFormatting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15B4-F882-4201-BCEF-B006900A452F}">
  <sheetPr>
    <tabColor rgb="FFCC6600"/>
  </sheetPr>
  <dimension ref="A1:S72"/>
  <sheetViews>
    <sheetView zoomScaleNormal="100" workbookViewId="0">
      <selection activeCell="C4" sqref="C4:D4"/>
    </sheetView>
  </sheetViews>
  <sheetFormatPr defaultRowHeight="14.4" x14ac:dyDescent="0.3"/>
  <cols>
    <col min="1" max="1" width="14.21875" customWidth="1"/>
    <col min="2" max="2" width="15.88671875" customWidth="1"/>
    <col min="3" max="3" width="14.21875" customWidth="1"/>
    <col min="4" max="4" width="14.77734375" customWidth="1"/>
    <col min="5" max="6" width="15" customWidth="1"/>
    <col min="7" max="7" width="3.5546875" customWidth="1"/>
  </cols>
  <sheetData>
    <row r="1" spans="1:19" ht="29.4" customHeight="1" thickBot="1" x14ac:dyDescent="0.35">
      <c r="A1" s="734" t="s">
        <v>2034</v>
      </c>
      <c r="B1" s="735"/>
      <c r="C1" s="735"/>
      <c r="D1" s="735"/>
      <c r="E1" s="735"/>
      <c r="F1" s="735"/>
      <c r="G1" s="735"/>
      <c r="H1" s="735"/>
      <c r="I1" s="735"/>
      <c r="J1" s="735"/>
      <c r="K1" s="735"/>
      <c r="L1" s="735"/>
      <c r="M1" s="735"/>
      <c r="N1" s="735"/>
      <c r="O1" s="735"/>
      <c r="P1" s="735"/>
      <c r="Q1" s="735"/>
      <c r="R1" s="735"/>
      <c r="S1" s="736"/>
    </row>
    <row r="2" spans="1:19" ht="15" thickBot="1" x14ac:dyDescent="0.35">
      <c r="A2" s="275" t="s">
        <v>2036</v>
      </c>
      <c r="B2" s="276" t="s">
        <v>2061</v>
      </c>
      <c r="C2" s="268"/>
      <c r="D2" s="275" t="s">
        <v>2035</v>
      </c>
      <c r="E2" s="604"/>
      <c r="F2" s="604"/>
      <c r="G2" s="268"/>
      <c r="H2" s="268"/>
      <c r="I2" s="268"/>
      <c r="J2" s="268"/>
      <c r="K2" s="268"/>
      <c r="L2" s="268"/>
      <c r="M2" s="268"/>
      <c r="N2" s="268"/>
      <c r="O2" s="268"/>
      <c r="P2" s="268"/>
      <c r="Q2" s="268"/>
      <c r="R2" s="268"/>
      <c r="S2" s="269"/>
    </row>
    <row r="3" spans="1:19" x14ac:dyDescent="0.3">
      <c r="A3" s="629" t="s">
        <v>2037</v>
      </c>
      <c r="B3" s="630"/>
      <c r="C3" s="630" t="s">
        <v>2038</v>
      </c>
      <c r="D3" s="630"/>
      <c r="E3" s="630" t="s">
        <v>2039</v>
      </c>
      <c r="F3" s="638"/>
      <c r="G3" s="268"/>
      <c r="H3" s="268"/>
      <c r="I3" s="268"/>
      <c r="J3" s="268"/>
      <c r="K3" s="268"/>
      <c r="L3" s="268"/>
      <c r="M3" s="268"/>
      <c r="N3" s="268"/>
      <c r="O3" s="268"/>
      <c r="P3" s="268"/>
      <c r="Q3" s="268"/>
      <c r="R3" s="268"/>
      <c r="S3" s="269"/>
    </row>
    <row r="4" spans="1:19" ht="15" thickBot="1" x14ac:dyDescent="0.35">
      <c r="A4" s="733">
        <f>'Amend#1 Overview'!C8</f>
        <v>0</v>
      </c>
      <c r="B4" s="641"/>
      <c r="C4" s="641">
        <f>'Amend#1 Overview'!G8</f>
        <v>0</v>
      </c>
      <c r="D4" s="641"/>
      <c r="E4" s="642">
        <f>'Amend#1 Overview'!K8</f>
        <v>0</v>
      </c>
      <c r="F4" s="643"/>
      <c r="G4" s="268"/>
      <c r="H4" s="268"/>
      <c r="I4" s="268"/>
      <c r="J4" s="268"/>
      <c r="K4" s="268"/>
      <c r="L4" s="268"/>
      <c r="M4" s="268"/>
      <c r="N4" s="268"/>
      <c r="O4" s="268"/>
      <c r="P4" s="268"/>
      <c r="Q4" s="268"/>
      <c r="R4" s="268"/>
      <c r="S4" s="269"/>
    </row>
    <row r="5" spans="1:19" ht="29.4" customHeight="1" x14ac:dyDescent="0.3">
      <c r="A5" s="629" t="s">
        <v>2040</v>
      </c>
      <c r="B5" s="630"/>
      <c r="C5" s="630" t="s">
        <v>2041</v>
      </c>
      <c r="D5" s="630"/>
      <c r="E5" s="631" t="s">
        <v>2042</v>
      </c>
      <c r="F5" s="632"/>
      <c r="G5" s="268"/>
      <c r="H5" s="268"/>
      <c r="I5" s="268"/>
      <c r="J5" s="268"/>
      <c r="K5" s="268"/>
      <c r="L5" s="268"/>
      <c r="M5" s="268"/>
      <c r="N5" s="268"/>
      <c r="O5" s="268"/>
      <c r="P5" s="268"/>
      <c r="Q5" s="268"/>
      <c r="R5" s="268"/>
      <c r="S5" s="269"/>
    </row>
    <row r="6" spans="1:19" ht="15" thickBot="1" x14ac:dyDescent="0.35">
      <c r="A6" s="633" t="str">
        <f>Overview!G9</f>
        <v/>
      </c>
      <c r="B6" s="634"/>
      <c r="C6" s="635">
        <f>'Amend#1 Overview'!G10</f>
        <v>0</v>
      </c>
      <c r="D6" s="634"/>
      <c r="E6" s="636" t="str">
        <f>IFERROR(C6/A6,"")</f>
        <v/>
      </c>
      <c r="F6" s="637"/>
      <c r="G6" s="268"/>
      <c r="H6" s="268"/>
      <c r="I6" s="268"/>
      <c r="J6" s="268"/>
      <c r="K6" s="268"/>
      <c r="L6" s="268"/>
      <c r="M6" s="268"/>
      <c r="N6" s="268"/>
      <c r="O6" s="268"/>
      <c r="P6" s="268"/>
      <c r="Q6" s="268"/>
      <c r="R6" s="268"/>
      <c r="S6" s="269"/>
    </row>
    <row r="7" spans="1:19" x14ac:dyDescent="0.3">
      <c r="A7" s="270"/>
      <c r="B7" s="268"/>
      <c r="C7" s="268"/>
      <c r="D7" s="268"/>
      <c r="E7" s="268"/>
      <c r="F7" s="268"/>
      <c r="G7" s="268"/>
      <c r="H7" s="268"/>
      <c r="I7" s="268"/>
      <c r="J7" s="268"/>
      <c r="K7" s="268"/>
      <c r="L7" s="268"/>
      <c r="M7" s="268"/>
      <c r="N7" s="268"/>
      <c r="O7" s="268"/>
      <c r="P7" s="268"/>
      <c r="Q7" s="268"/>
      <c r="R7" s="268"/>
      <c r="S7" s="269"/>
    </row>
    <row r="8" spans="1:19" x14ac:dyDescent="0.3">
      <c r="A8" s="621" t="s">
        <v>2044</v>
      </c>
      <c r="B8" s="602"/>
      <c r="C8" s="266"/>
      <c r="D8" s="267"/>
      <c r="E8" s="602" t="s">
        <v>2043</v>
      </c>
      <c r="F8" s="602"/>
      <c r="G8" s="268"/>
      <c r="H8" s="268"/>
      <c r="I8" s="268"/>
      <c r="J8" s="268"/>
      <c r="K8" s="268"/>
      <c r="L8" s="268"/>
      <c r="M8" s="268"/>
      <c r="N8" s="268"/>
      <c r="O8" s="268"/>
      <c r="P8" s="268"/>
      <c r="Q8" s="268"/>
      <c r="R8" s="268"/>
      <c r="S8" s="269"/>
    </row>
    <row r="9" spans="1:19" x14ac:dyDescent="0.3">
      <c r="A9" s="600" t="s">
        <v>2060</v>
      </c>
      <c r="B9" s="601"/>
      <c r="C9" s="271"/>
      <c r="D9" s="271"/>
      <c r="E9" s="600" t="s">
        <v>2060</v>
      </c>
      <c r="F9" s="601"/>
      <c r="G9" s="268"/>
      <c r="H9" s="268"/>
      <c r="I9" s="268"/>
      <c r="J9" s="268"/>
      <c r="K9" s="268"/>
      <c r="L9" s="268"/>
      <c r="M9" s="268"/>
      <c r="N9" s="268"/>
      <c r="O9" s="268"/>
      <c r="P9" s="268"/>
      <c r="Q9" s="268"/>
      <c r="R9" s="268"/>
      <c r="S9" s="269"/>
    </row>
    <row r="10" spans="1:19" x14ac:dyDescent="0.3">
      <c r="A10" s="621" t="s">
        <v>2045</v>
      </c>
      <c r="B10" s="602"/>
      <c r="C10" s="268"/>
      <c r="D10" s="268"/>
      <c r="E10" s="602" t="s">
        <v>2045</v>
      </c>
      <c r="F10" s="602"/>
      <c r="G10" s="268"/>
      <c r="H10" s="268"/>
      <c r="I10" s="268"/>
      <c r="J10" s="268"/>
      <c r="K10" s="268"/>
      <c r="L10" s="268"/>
      <c r="M10" s="268"/>
      <c r="N10" s="268"/>
      <c r="O10" s="268"/>
      <c r="P10" s="268"/>
      <c r="Q10" s="268"/>
      <c r="R10" s="268"/>
      <c r="S10" s="269"/>
    </row>
    <row r="11" spans="1:19" x14ac:dyDescent="0.3">
      <c r="A11" s="622">
        <f>IF('Amend#1 Overview'!M23&gt;'Amend#1 Overview'!I15,'Amend#1 Overview'!M23-'Amend#1 Overview'!I15,0)</f>
        <v>0</v>
      </c>
      <c r="B11" s="623"/>
      <c r="C11" s="268"/>
      <c r="D11" s="268"/>
      <c r="E11" s="624">
        <f>IF('Amend#1 Overview'!M22&gt;'Amend#1 Overview'!M21,'Amend#1 Overview'!M22-'Amend#1 Overview'!M21,0)</f>
        <v>0</v>
      </c>
      <c r="F11" s="624"/>
      <c r="G11" s="268"/>
      <c r="H11" s="268"/>
      <c r="I11" s="268"/>
      <c r="J11" s="268"/>
      <c r="K11" s="268"/>
      <c r="L11" s="268"/>
      <c r="M11" s="268"/>
      <c r="N11" s="268"/>
      <c r="O11" s="268"/>
      <c r="P11" s="268"/>
      <c r="Q11" s="268"/>
      <c r="R11" s="268"/>
      <c r="S11" s="269"/>
    </row>
    <row r="12" spans="1:19" ht="15" thickBot="1" x14ac:dyDescent="0.35">
      <c r="A12" s="270"/>
      <c r="B12" s="268"/>
      <c r="C12" s="268"/>
      <c r="D12" s="268"/>
      <c r="E12" s="268"/>
      <c r="F12" s="268"/>
      <c r="G12" s="268"/>
      <c r="H12" s="268"/>
      <c r="I12" s="268"/>
      <c r="J12" s="268"/>
      <c r="K12" s="268"/>
      <c r="L12" s="268"/>
      <c r="M12" s="268"/>
      <c r="N12" s="268"/>
      <c r="O12" s="268"/>
      <c r="P12" s="268"/>
      <c r="Q12" s="268"/>
      <c r="R12" s="268"/>
      <c r="S12" s="269"/>
    </row>
    <row r="13" spans="1:19" ht="15" thickBot="1" x14ac:dyDescent="0.35">
      <c r="A13" s="621" t="s">
        <v>2046</v>
      </c>
      <c r="B13" s="602"/>
      <c r="C13" s="602"/>
      <c r="D13" s="602"/>
      <c r="E13" s="602"/>
      <c r="F13" s="602"/>
      <c r="G13" s="268"/>
      <c r="H13" s="605" t="s">
        <v>2049</v>
      </c>
      <c r="I13" s="606"/>
      <c r="J13" s="606"/>
      <c r="K13" s="606"/>
      <c r="L13" s="606"/>
      <c r="M13" s="606"/>
      <c r="N13" s="606"/>
      <c r="O13" s="606"/>
      <c r="P13" s="606"/>
      <c r="Q13" s="606"/>
      <c r="R13" s="606"/>
      <c r="S13" s="607"/>
    </row>
    <row r="14" spans="1:19" ht="14.4" customHeight="1" thickBot="1" x14ac:dyDescent="0.35">
      <c r="A14" s="627" t="s">
        <v>2060</v>
      </c>
      <c r="B14" s="628"/>
      <c r="C14" s="612" t="s">
        <v>2054</v>
      </c>
      <c r="D14" s="613"/>
      <c r="E14" s="613"/>
      <c r="F14" s="614"/>
      <c r="G14" s="268"/>
      <c r="H14" s="608"/>
      <c r="I14" s="609"/>
      <c r="J14" s="609"/>
      <c r="K14" s="609"/>
      <c r="L14" s="609"/>
      <c r="M14" s="609"/>
      <c r="N14" s="609"/>
      <c r="O14" s="609"/>
      <c r="P14" s="609"/>
      <c r="Q14" s="609"/>
      <c r="R14" s="609"/>
      <c r="S14" s="610"/>
    </row>
    <row r="15" spans="1:19" x14ac:dyDescent="0.3">
      <c r="A15" s="627"/>
      <c r="B15" s="628"/>
      <c r="C15" s="615"/>
      <c r="D15" s="611"/>
      <c r="E15" s="611"/>
      <c r="F15" s="616"/>
      <c r="G15" s="268"/>
      <c r="H15" s="602" t="s">
        <v>2050</v>
      </c>
      <c r="I15" s="602"/>
      <c r="J15" s="602"/>
      <c r="K15" s="602"/>
      <c r="L15" s="602" t="s">
        <v>2051</v>
      </c>
      <c r="M15" s="602"/>
      <c r="N15" s="602"/>
      <c r="O15" s="602"/>
      <c r="P15" s="602" t="s">
        <v>2052</v>
      </c>
      <c r="Q15" s="602"/>
      <c r="R15" s="602"/>
      <c r="S15" s="603"/>
    </row>
    <row r="16" spans="1:19" x14ac:dyDescent="0.3">
      <c r="A16" s="627"/>
      <c r="B16" s="628"/>
      <c r="C16" s="615"/>
      <c r="D16" s="611"/>
      <c r="E16" s="611"/>
      <c r="F16" s="616"/>
      <c r="G16" s="268"/>
      <c r="H16" s="620" t="s">
        <v>2061</v>
      </c>
      <c r="I16" s="620"/>
      <c r="J16" s="620"/>
      <c r="K16" s="620"/>
      <c r="L16" s="620" t="s">
        <v>2060</v>
      </c>
      <c r="M16" s="620"/>
      <c r="N16" s="620"/>
      <c r="O16" s="620"/>
      <c r="P16" s="620" t="s">
        <v>2060</v>
      </c>
      <c r="Q16" s="620"/>
      <c r="R16" s="620"/>
      <c r="S16" s="620"/>
    </row>
    <row r="17" spans="1:19" ht="15" thickBot="1" x14ac:dyDescent="0.35">
      <c r="A17" s="270"/>
      <c r="B17" s="268"/>
      <c r="C17" s="615"/>
      <c r="D17" s="611"/>
      <c r="E17" s="611"/>
      <c r="F17" s="616"/>
      <c r="G17" s="268"/>
      <c r="H17" s="268"/>
      <c r="I17" s="268"/>
      <c r="J17" s="268"/>
      <c r="K17" s="268"/>
      <c r="L17" s="268"/>
      <c r="M17" s="268"/>
      <c r="N17" s="268"/>
      <c r="O17" s="268"/>
      <c r="P17" s="268"/>
      <c r="Q17" s="268"/>
      <c r="R17" s="268"/>
      <c r="S17" s="269"/>
    </row>
    <row r="18" spans="1:19" x14ac:dyDescent="0.3">
      <c r="A18" s="270"/>
      <c r="B18" s="268"/>
      <c r="C18" s="615"/>
      <c r="D18" s="611"/>
      <c r="E18" s="611"/>
      <c r="F18" s="616"/>
      <c r="G18" s="268"/>
      <c r="H18" s="602" t="s">
        <v>2053</v>
      </c>
      <c r="I18" s="602"/>
      <c r="J18" s="602"/>
      <c r="K18" s="602"/>
      <c r="L18" s="268"/>
      <c r="M18" s="612" t="s">
        <v>2054</v>
      </c>
      <c r="N18" s="613"/>
      <c r="O18" s="613"/>
      <c r="P18" s="613"/>
      <c r="Q18" s="613"/>
      <c r="R18" s="613"/>
      <c r="S18" s="614"/>
    </row>
    <row r="19" spans="1:19" x14ac:dyDescent="0.3">
      <c r="A19" s="270"/>
      <c r="B19" s="268"/>
      <c r="C19" s="615"/>
      <c r="D19" s="611"/>
      <c r="E19" s="611"/>
      <c r="F19" s="616"/>
      <c r="G19" s="268"/>
      <c r="H19" s="611" t="s">
        <v>2054</v>
      </c>
      <c r="I19" s="611"/>
      <c r="J19" s="611"/>
      <c r="K19" s="611"/>
      <c r="L19" s="268"/>
      <c r="M19" s="615"/>
      <c r="N19" s="611"/>
      <c r="O19" s="611"/>
      <c r="P19" s="611"/>
      <c r="Q19" s="611"/>
      <c r="R19" s="611"/>
      <c r="S19" s="616"/>
    </row>
    <row r="20" spans="1:19" x14ac:dyDescent="0.3">
      <c r="A20" s="270"/>
      <c r="B20" s="268"/>
      <c r="C20" s="615"/>
      <c r="D20" s="611"/>
      <c r="E20" s="611"/>
      <c r="F20" s="616"/>
      <c r="G20" s="268"/>
      <c r="H20" s="611"/>
      <c r="I20" s="611"/>
      <c r="J20" s="611"/>
      <c r="K20" s="611"/>
      <c r="L20" s="268"/>
      <c r="M20" s="615"/>
      <c r="N20" s="611"/>
      <c r="O20" s="611"/>
      <c r="P20" s="611"/>
      <c r="Q20" s="611"/>
      <c r="R20" s="611"/>
      <c r="S20" s="616"/>
    </row>
    <row r="21" spans="1:19" x14ac:dyDescent="0.3">
      <c r="A21" s="270"/>
      <c r="B21" s="268"/>
      <c r="C21" s="615"/>
      <c r="D21" s="611"/>
      <c r="E21" s="611"/>
      <c r="F21" s="616"/>
      <c r="G21" s="268"/>
      <c r="H21" s="611"/>
      <c r="I21" s="611"/>
      <c r="J21" s="611"/>
      <c r="K21" s="611"/>
      <c r="L21" s="268"/>
      <c r="M21" s="615"/>
      <c r="N21" s="611"/>
      <c r="O21" s="611"/>
      <c r="P21" s="611"/>
      <c r="Q21" s="611"/>
      <c r="R21" s="611"/>
      <c r="S21" s="616"/>
    </row>
    <row r="22" spans="1:19" x14ac:dyDescent="0.3">
      <c r="A22" s="270"/>
      <c r="B22" s="268"/>
      <c r="C22" s="615"/>
      <c r="D22" s="611"/>
      <c r="E22" s="611"/>
      <c r="F22" s="616"/>
      <c r="G22" s="268"/>
      <c r="H22" s="611"/>
      <c r="I22" s="611"/>
      <c r="J22" s="611"/>
      <c r="K22" s="611"/>
      <c r="L22" s="268"/>
      <c r="M22" s="615"/>
      <c r="N22" s="611"/>
      <c r="O22" s="611"/>
      <c r="P22" s="611"/>
      <c r="Q22" s="611"/>
      <c r="R22" s="611"/>
      <c r="S22" s="616"/>
    </row>
    <row r="23" spans="1:19" x14ac:dyDescent="0.3">
      <c r="A23" s="270"/>
      <c r="B23" s="268"/>
      <c r="C23" s="615"/>
      <c r="D23" s="611"/>
      <c r="E23" s="611"/>
      <c r="F23" s="616"/>
      <c r="G23" s="268"/>
      <c r="H23" s="611"/>
      <c r="I23" s="611"/>
      <c r="J23" s="611"/>
      <c r="K23" s="611"/>
      <c r="L23" s="268"/>
      <c r="M23" s="615"/>
      <c r="N23" s="611"/>
      <c r="O23" s="611"/>
      <c r="P23" s="611"/>
      <c r="Q23" s="611"/>
      <c r="R23" s="611"/>
      <c r="S23" s="616"/>
    </row>
    <row r="24" spans="1:19" x14ac:dyDescent="0.3">
      <c r="A24" s="270"/>
      <c r="B24" s="268"/>
      <c r="C24" s="615"/>
      <c r="D24" s="611"/>
      <c r="E24" s="611"/>
      <c r="F24" s="616"/>
      <c r="G24" s="268"/>
      <c r="H24" s="611"/>
      <c r="I24" s="611"/>
      <c r="J24" s="611"/>
      <c r="K24" s="611"/>
      <c r="L24" s="268"/>
      <c r="M24" s="615"/>
      <c r="N24" s="611"/>
      <c r="O24" s="611"/>
      <c r="P24" s="611"/>
      <c r="Q24" s="611"/>
      <c r="R24" s="611"/>
      <c r="S24" s="616"/>
    </row>
    <row r="25" spans="1:19" x14ac:dyDescent="0.3">
      <c r="A25" s="270"/>
      <c r="B25" s="268"/>
      <c r="C25" s="615"/>
      <c r="D25" s="611"/>
      <c r="E25" s="611"/>
      <c r="F25" s="616"/>
      <c r="G25" s="268"/>
      <c r="H25" s="611"/>
      <c r="I25" s="611"/>
      <c r="J25" s="611"/>
      <c r="K25" s="611"/>
      <c r="L25" s="268"/>
      <c r="M25" s="615"/>
      <c r="N25" s="611"/>
      <c r="O25" s="611"/>
      <c r="P25" s="611"/>
      <c r="Q25" s="611"/>
      <c r="R25" s="611"/>
      <c r="S25" s="616"/>
    </row>
    <row r="26" spans="1:19" x14ac:dyDescent="0.3">
      <c r="A26" s="270"/>
      <c r="B26" s="268"/>
      <c r="C26" s="615"/>
      <c r="D26" s="611"/>
      <c r="E26" s="611"/>
      <c r="F26" s="616"/>
      <c r="G26" s="268"/>
      <c r="H26" s="611"/>
      <c r="I26" s="611"/>
      <c r="J26" s="611"/>
      <c r="K26" s="611"/>
      <c r="L26" s="268"/>
      <c r="M26" s="615"/>
      <c r="N26" s="611"/>
      <c r="O26" s="611"/>
      <c r="P26" s="611"/>
      <c r="Q26" s="611"/>
      <c r="R26" s="611"/>
      <c r="S26" s="616"/>
    </row>
    <row r="27" spans="1:19" x14ac:dyDescent="0.3">
      <c r="A27" s="270"/>
      <c r="B27" s="268"/>
      <c r="C27" s="615"/>
      <c r="D27" s="611"/>
      <c r="E27" s="611"/>
      <c r="F27" s="616"/>
      <c r="G27" s="268"/>
      <c r="H27" s="268"/>
      <c r="I27" s="268"/>
      <c r="J27" s="268"/>
      <c r="K27" s="268"/>
      <c r="L27" s="268"/>
      <c r="M27" s="615"/>
      <c r="N27" s="611"/>
      <c r="O27" s="611"/>
      <c r="P27" s="611"/>
      <c r="Q27" s="611"/>
      <c r="R27" s="611"/>
      <c r="S27" s="616"/>
    </row>
    <row r="28" spans="1:19" x14ac:dyDescent="0.3">
      <c r="A28" s="270"/>
      <c r="B28" s="268"/>
      <c r="C28" s="615"/>
      <c r="D28" s="611"/>
      <c r="E28" s="611"/>
      <c r="F28" s="616"/>
      <c r="G28" s="268"/>
      <c r="H28" s="268"/>
      <c r="I28" s="268"/>
      <c r="J28" s="268"/>
      <c r="K28" s="268"/>
      <c r="L28" s="268"/>
      <c r="M28" s="615"/>
      <c r="N28" s="611"/>
      <c r="O28" s="611"/>
      <c r="P28" s="611"/>
      <c r="Q28" s="611"/>
      <c r="R28" s="611"/>
      <c r="S28" s="616"/>
    </row>
    <row r="29" spans="1:19" x14ac:dyDescent="0.3">
      <c r="A29" s="270"/>
      <c r="B29" s="268"/>
      <c r="C29" s="615"/>
      <c r="D29" s="611"/>
      <c r="E29" s="611"/>
      <c r="F29" s="616"/>
      <c r="G29" s="268"/>
      <c r="H29" s="268"/>
      <c r="I29" s="268"/>
      <c r="J29" s="268"/>
      <c r="K29" s="268"/>
      <c r="L29" s="268"/>
      <c r="M29" s="615"/>
      <c r="N29" s="611"/>
      <c r="O29" s="611"/>
      <c r="P29" s="611"/>
      <c r="Q29" s="611"/>
      <c r="R29" s="611"/>
      <c r="S29" s="616"/>
    </row>
    <row r="30" spans="1:19" x14ac:dyDescent="0.3">
      <c r="A30" s="270"/>
      <c r="B30" s="268"/>
      <c r="C30" s="615"/>
      <c r="D30" s="611"/>
      <c r="E30" s="611"/>
      <c r="F30" s="616"/>
      <c r="G30" s="268"/>
      <c r="H30" s="268"/>
      <c r="I30" s="268"/>
      <c r="J30" s="268"/>
      <c r="K30" s="268"/>
      <c r="L30" s="268"/>
      <c r="M30" s="615"/>
      <c r="N30" s="611"/>
      <c r="O30" s="611"/>
      <c r="P30" s="611"/>
      <c r="Q30" s="611"/>
      <c r="R30" s="611"/>
      <c r="S30" s="616"/>
    </row>
    <row r="31" spans="1:19" ht="15" thickBot="1" x14ac:dyDescent="0.35">
      <c r="A31" s="270"/>
      <c r="B31" s="268"/>
      <c r="C31" s="617"/>
      <c r="D31" s="618"/>
      <c r="E31" s="618"/>
      <c r="F31" s="619"/>
      <c r="G31" s="268"/>
      <c r="H31" s="268"/>
      <c r="I31" s="268"/>
      <c r="J31" s="268"/>
      <c r="K31" s="268"/>
      <c r="L31" s="268"/>
      <c r="M31" s="615"/>
      <c r="N31" s="611"/>
      <c r="O31" s="611"/>
      <c r="P31" s="611"/>
      <c r="Q31" s="611"/>
      <c r="R31" s="611"/>
      <c r="S31" s="616"/>
    </row>
    <row r="32" spans="1:19" x14ac:dyDescent="0.3">
      <c r="A32" s="270"/>
      <c r="B32" s="268"/>
      <c r="C32" s="268"/>
      <c r="D32" s="268"/>
      <c r="E32" s="268"/>
      <c r="F32" s="268"/>
      <c r="G32" s="268"/>
      <c r="H32" s="268"/>
      <c r="I32" s="268"/>
      <c r="J32" s="268"/>
      <c r="K32" s="268"/>
      <c r="L32" s="268"/>
      <c r="M32" s="615"/>
      <c r="N32" s="611"/>
      <c r="O32" s="611"/>
      <c r="P32" s="611"/>
      <c r="Q32" s="611"/>
      <c r="R32" s="611"/>
      <c r="S32" s="616"/>
    </row>
    <row r="33" spans="1:19" ht="15" thickBot="1" x14ac:dyDescent="0.35">
      <c r="A33" s="621" t="s">
        <v>2047</v>
      </c>
      <c r="B33" s="602"/>
      <c r="C33" s="602"/>
      <c r="D33" s="602"/>
      <c r="E33" s="602"/>
      <c r="F33" s="602"/>
      <c r="G33" s="268"/>
      <c r="H33" s="268"/>
      <c r="I33" s="268"/>
      <c r="J33" s="268"/>
      <c r="K33" s="268"/>
      <c r="L33" s="268"/>
      <c r="M33" s="615"/>
      <c r="N33" s="611"/>
      <c r="O33" s="611"/>
      <c r="P33" s="611"/>
      <c r="Q33" s="611"/>
      <c r="R33" s="611"/>
      <c r="S33" s="616"/>
    </row>
    <row r="34" spans="1:19" x14ac:dyDescent="0.3">
      <c r="A34" s="627" t="s">
        <v>2060</v>
      </c>
      <c r="B34" s="628"/>
      <c r="C34" s="612" t="s">
        <v>2054</v>
      </c>
      <c r="D34" s="613"/>
      <c r="E34" s="613"/>
      <c r="F34" s="614"/>
      <c r="G34" s="268"/>
      <c r="H34" s="268"/>
      <c r="I34" s="268"/>
      <c r="J34" s="268"/>
      <c r="K34" s="268"/>
      <c r="L34" s="268"/>
      <c r="M34" s="615"/>
      <c r="N34" s="611"/>
      <c r="O34" s="611"/>
      <c r="P34" s="611"/>
      <c r="Q34" s="611"/>
      <c r="R34" s="611"/>
      <c r="S34" s="616"/>
    </row>
    <row r="35" spans="1:19" ht="15" thickBot="1" x14ac:dyDescent="0.35">
      <c r="A35" s="627"/>
      <c r="B35" s="628"/>
      <c r="C35" s="615"/>
      <c r="D35" s="611"/>
      <c r="E35" s="611"/>
      <c r="F35" s="616"/>
      <c r="G35" s="268"/>
      <c r="H35" s="268"/>
      <c r="I35" s="268"/>
      <c r="J35" s="268"/>
      <c r="K35" s="268"/>
      <c r="L35" s="268"/>
      <c r="M35" s="617"/>
      <c r="N35" s="618"/>
      <c r="O35" s="618"/>
      <c r="P35" s="618"/>
      <c r="Q35" s="618"/>
      <c r="R35" s="618"/>
      <c r="S35" s="619"/>
    </row>
    <row r="36" spans="1:19" x14ac:dyDescent="0.3">
      <c r="A36" s="627"/>
      <c r="B36" s="628"/>
      <c r="C36" s="615"/>
      <c r="D36" s="611"/>
      <c r="E36" s="611"/>
      <c r="F36" s="616"/>
      <c r="G36" s="268"/>
      <c r="H36" s="268"/>
      <c r="I36" s="268"/>
      <c r="J36" s="268"/>
      <c r="K36" s="268"/>
      <c r="L36" s="268"/>
      <c r="M36" s="268"/>
      <c r="N36" s="268"/>
      <c r="O36" s="268"/>
      <c r="P36" s="268"/>
      <c r="Q36" s="268"/>
      <c r="R36" s="268"/>
      <c r="S36" s="269"/>
    </row>
    <row r="37" spans="1:19" x14ac:dyDescent="0.3">
      <c r="A37" s="270"/>
      <c r="B37" s="268"/>
      <c r="C37" s="615"/>
      <c r="D37" s="611"/>
      <c r="E37" s="611"/>
      <c r="F37" s="616"/>
      <c r="G37" s="268"/>
      <c r="H37" s="268"/>
      <c r="I37" s="268"/>
      <c r="J37" s="268"/>
      <c r="K37" s="268"/>
      <c r="L37" s="268"/>
      <c r="M37" s="268"/>
      <c r="N37" s="268"/>
      <c r="O37" s="268"/>
      <c r="P37" s="268"/>
      <c r="Q37" s="268"/>
      <c r="R37" s="268"/>
      <c r="S37" s="269"/>
    </row>
    <row r="38" spans="1:19" x14ac:dyDescent="0.3">
      <c r="A38" s="270"/>
      <c r="B38" s="268"/>
      <c r="C38" s="615"/>
      <c r="D38" s="611"/>
      <c r="E38" s="611"/>
      <c r="F38" s="616"/>
      <c r="G38" s="268"/>
      <c r="H38" s="602" t="s">
        <v>2055</v>
      </c>
      <c r="I38" s="602"/>
      <c r="J38" s="602"/>
      <c r="K38" s="602"/>
      <c r="L38" s="602"/>
      <c r="M38" s="602"/>
      <c r="N38" s="602"/>
      <c r="O38" s="602"/>
      <c r="P38" s="602"/>
      <c r="Q38" s="602"/>
      <c r="R38" s="602"/>
      <c r="S38" s="603"/>
    </row>
    <row r="39" spans="1:19" ht="15" thickBot="1" x14ac:dyDescent="0.35">
      <c r="A39" s="270"/>
      <c r="B39" s="268"/>
      <c r="C39" s="615"/>
      <c r="D39" s="611"/>
      <c r="E39" s="611"/>
      <c r="F39" s="616"/>
      <c r="G39" s="268"/>
      <c r="H39" s="268"/>
      <c r="I39" s="268"/>
      <c r="J39" s="268"/>
      <c r="K39" s="268"/>
      <c r="L39" s="268"/>
      <c r="M39" s="268"/>
      <c r="N39" s="268"/>
      <c r="O39" s="268"/>
      <c r="P39" s="268"/>
      <c r="Q39" s="268"/>
      <c r="R39" s="268"/>
      <c r="S39" s="269"/>
    </row>
    <row r="40" spans="1:19" x14ac:dyDescent="0.3">
      <c r="A40" s="270"/>
      <c r="B40" s="268"/>
      <c r="C40" s="615"/>
      <c r="D40" s="611"/>
      <c r="E40" s="611"/>
      <c r="F40" s="616"/>
      <c r="G40" s="268"/>
      <c r="H40" s="602" t="s">
        <v>2057</v>
      </c>
      <c r="I40" s="602"/>
      <c r="J40" s="602"/>
      <c r="K40" s="268"/>
      <c r="L40" s="602" t="s">
        <v>2056</v>
      </c>
      <c r="M40" s="602"/>
      <c r="N40" s="602"/>
      <c r="O40" s="612" t="s">
        <v>2054</v>
      </c>
      <c r="P40" s="613"/>
      <c r="Q40" s="613"/>
      <c r="R40" s="613"/>
      <c r="S40" s="614"/>
    </row>
    <row r="41" spans="1:19" x14ac:dyDescent="0.3">
      <c r="A41" s="270"/>
      <c r="B41" s="268"/>
      <c r="C41" s="615"/>
      <c r="D41" s="611"/>
      <c r="E41" s="611"/>
      <c r="F41" s="616"/>
      <c r="G41" s="268"/>
      <c r="H41" s="625">
        <f>'Amend#1 Overview'!C8</f>
        <v>0</v>
      </c>
      <c r="I41" s="625"/>
      <c r="J41" s="625"/>
      <c r="K41" s="268"/>
      <c r="L41" s="626"/>
      <c r="M41" s="626"/>
      <c r="N41" s="626"/>
      <c r="O41" s="615"/>
      <c r="P41" s="611"/>
      <c r="Q41" s="611"/>
      <c r="R41" s="611"/>
      <c r="S41" s="616"/>
    </row>
    <row r="42" spans="1:19" x14ac:dyDescent="0.3">
      <c r="A42" s="270"/>
      <c r="B42" s="268"/>
      <c r="C42" s="615"/>
      <c r="D42" s="611"/>
      <c r="E42" s="611"/>
      <c r="F42" s="616"/>
      <c r="G42" s="268"/>
      <c r="H42" s="268"/>
      <c r="I42" s="268"/>
      <c r="J42" s="268"/>
      <c r="K42" s="268"/>
      <c r="L42" s="268"/>
      <c r="M42" s="268"/>
      <c r="N42" s="268"/>
      <c r="O42" s="615"/>
      <c r="P42" s="611"/>
      <c r="Q42" s="611"/>
      <c r="R42" s="611"/>
      <c r="S42" s="616"/>
    </row>
    <row r="43" spans="1:19" x14ac:dyDescent="0.3">
      <c r="A43" s="270"/>
      <c r="B43" s="268"/>
      <c r="C43" s="615"/>
      <c r="D43" s="611"/>
      <c r="E43" s="611"/>
      <c r="F43" s="616"/>
      <c r="G43" s="268"/>
      <c r="H43" s="602" t="s">
        <v>2058</v>
      </c>
      <c r="I43" s="602"/>
      <c r="J43" s="602"/>
      <c r="K43" s="268"/>
      <c r="L43" s="602" t="s">
        <v>2059</v>
      </c>
      <c r="M43" s="602"/>
      <c r="N43" s="602"/>
      <c r="O43" s="615"/>
      <c r="P43" s="611"/>
      <c r="Q43" s="611"/>
      <c r="R43" s="611"/>
      <c r="S43" s="616"/>
    </row>
    <row r="44" spans="1:19" ht="15" thickBot="1" x14ac:dyDescent="0.35">
      <c r="A44" s="270"/>
      <c r="B44" s="268"/>
      <c r="C44" s="615"/>
      <c r="D44" s="611"/>
      <c r="E44" s="611"/>
      <c r="F44" s="616"/>
      <c r="G44" s="268"/>
      <c r="H44" s="601" t="s">
        <v>2061</v>
      </c>
      <c r="I44" s="601"/>
      <c r="J44" s="601"/>
      <c r="K44" s="268"/>
      <c r="L44" s="601"/>
      <c r="M44" s="601"/>
      <c r="N44" s="601"/>
      <c r="O44" s="617"/>
      <c r="P44" s="618"/>
      <c r="Q44" s="618"/>
      <c r="R44" s="618"/>
      <c r="S44" s="619"/>
    </row>
    <row r="45" spans="1:19" ht="15" thickBot="1" x14ac:dyDescent="0.35">
      <c r="A45" s="270"/>
      <c r="B45" s="268"/>
      <c r="C45" s="615"/>
      <c r="D45" s="611"/>
      <c r="E45" s="611"/>
      <c r="F45" s="616"/>
      <c r="G45" s="268"/>
      <c r="H45" s="268"/>
      <c r="I45" s="268"/>
      <c r="J45" s="268"/>
      <c r="K45" s="268"/>
      <c r="L45" s="268"/>
      <c r="M45" s="268"/>
      <c r="N45" s="268"/>
      <c r="O45" s="268"/>
      <c r="P45" s="268"/>
      <c r="Q45" s="268"/>
      <c r="R45" s="268"/>
      <c r="S45" s="269"/>
    </row>
    <row r="46" spans="1:19" x14ac:dyDescent="0.3">
      <c r="A46" s="270"/>
      <c r="B46" s="268"/>
      <c r="C46" s="615"/>
      <c r="D46" s="611"/>
      <c r="E46" s="611"/>
      <c r="F46" s="616"/>
      <c r="G46" s="268"/>
      <c r="H46" s="602" t="s">
        <v>2057</v>
      </c>
      <c r="I46" s="602"/>
      <c r="J46" s="602"/>
      <c r="K46" s="268"/>
      <c r="L46" s="602" t="s">
        <v>2056</v>
      </c>
      <c r="M46" s="602"/>
      <c r="N46" s="602"/>
      <c r="O46" s="612" t="s">
        <v>2054</v>
      </c>
      <c r="P46" s="613"/>
      <c r="Q46" s="613"/>
      <c r="R46" s="613"/>
      <c r="S46" s="614"/>
    </row>
    <row r="47" spans="1:19" x14ac:dyDescent="0.3">
      <c r="A47" s="270"/>
      <c r="B47" s="268"/>
      <c r="C47" s="615"/>
      <c r="D47" s="611"/>
      <c r="E47" s="611"/>
      <c r="F47" s="616"/>
      <c r="G47" s="268"/>
      <c r="H47" s="625">
        <f>'Amend#1 Overview'!C8</f>
        <v>0</v>
      </c>
      <c r="I47" s="625"/>
      <c r="J47" s="625"/>
      <c r="K47" s="268"/>
      <c r="L47" s="626"/>
      <c r="M47" s="626"/>
      <c r="N47" s="626"/>
      <c r="O47" s="615"/>
      <c r="P47" s="611"/>
      <c r="Q47" s="611"/>
      <c r="R47" s="611"/>
      <c r="S47" s="616"/>
    </row>
    <row r="48" spans="1:19" x14ac:dyDescent="0.3">
      <c r="A48" s="270"/>
      <c r="B48" s="268"/>
      <c r="C48" s="615"/>
      <c r="D48" s="611"/>
      <c r="E48" s="611"/>
      <c r="F48" s="616"/>
      <c r="G48" s="268"/>
      <c r="H48" s="268"/>
      <c r="I48" s="268"/>
      <c r="J48" s="268"/>
      <c r="K48" s="268"/>
      <c r="L48" s="268"/>
      <c r="M48" s="268"/>
      <c r="N48" s="268"/>
      <c r="O48" s="615"/>
      <c r="P48" s="611"/>
      <c r="Q48" s="611"/>
      <c r="R48" s="611"/>
      <c r="S48" s="616"/>
    </row>
    <row r="49" spans="1:19" x14ac:dyDescent="0.3">
      <c r="A49" s="270"/>
      <c r="B49" s="268"/>
      <c r="C49" s="615"/>
      <c r="D49" s="611"/>
      <c r="E49" s="611"/>
      <c r="F49" s="616"/>
      <c r="G49" s="268"/>
      <c r="H49" s="602" t="s">
        <v>2058</v>
      </c>
      <c r="I49" s="602"/>
      <c r="J49" s="602"/>
      <c r="K49" s="268"/>
      <c r="L49" s="602" t="s">
        <v>2059</v>
      </c>
      <c r="M49" s="602"/>
      <c r="N49" s="602"/>
      <c r="O49" s="615"/>
      <c r="P49" s="611"/>
      <c r="Q49" s="611"/>
      <c r="R49" s="611"/>
      <c r="S49" s="616"/>
    </row>
    <row r="50" spans="1:19" ht="15" thickBot="1" x14ac:dyDescent="0.35">
      <c r="A50" s="270"/>
      <c r="B50" s="268"/>
      <c r="C50" s="615"/>
      <c r="D50" s="611"/>
      <c r="E50" s="611"/>
      <c r="F50" s="616"/>
      <c r="G50" s="268"/>
      <c r="H50" s="601" t="s">
        <v>2061</v>
      </c>
      <c r="I50" s="601"/>
      <c r="J50" s="601"/>
      <c r="K50" s="268"/>
      <c r="L50" s="601"/>
      <c r="M50" s="601"/>
      <c r="N50" s="601"/>
      <c r="O50" s="617"/>
      <c r="P50" s="618"/>
      <c r="Q50" s="618"/>
      <c r="R50" s="618"/>
      <c r="S50" s="619"/>
    </row>
    <row r="51" spans="1:19" ht="15" thickBot="1" x14ac:dyDescent="0.35">
      <c r="A51" s="270"/>
      <c r="B51" s="268"/>
      <c r="C51" s="617"/>
      <c r="D51" s="618"/>
      <c r="E51" s="618"/>
      <c r="F51" s="619"/>
      <c r="G51" s="268"/>
      <c r="H51" s="268"/>
      <c r="I51" s="268"/>
      <c r="J51" s="268"/>
      <c r="K51" s="268"/>
      <c r="L51" s="268"/>
      <c r="M51" s="268"/>
      <c r="N51" s="268"/>
      <c r="O51" s="268"/>
      <c r="P51" s="268"/>
      <c r="Q51" s="268"/>
      <c r="R51" s="268"/>
      <c r="S51" s="269"/>
    </row>
    <row r="52" spans="1:19" x14ac:dyDescent="0.3">
      <c r="A52" s="270"/>
      <c r="B52" s="268"/>
      <c r="C52" s="268"/>
      <c r="D52" s="268"/>
      <c r="E52" s="268"/>
      <c r="F52" s="268"/>
      <c r="G52" s="268"/>
      <c r="H52" s="602" t="s">
        <v>2057</v>
      </c>
      <c r="I52" s="602"/>
      <c r="J52" s="602"/>
      <c r="K52" s="268"/>
      <c r="L52" s="602" t="s">
        <v>2056</v>
      </c>
      <c r="M52" s="602"/>
      <c r="N52" s="602"/>
      <c r="O52" s="612" t="s">
        <v>2054</v>
      </c>
      <c r="P52" s="613"/>
      <c r="Q52" s="613"/>
      <c r="R52" s="613"/>
      <c r="S52" s="614"/>
    </row>
    <row r="53" spans="1:19" ht="15" thickBot="1" x14ac:dyDescent="0.35">
      <c r="A53" s="621" t="s">
        <v>2048</v>
      </c>
      <c r="B53" s="602"/>
      <c r="C53" s="602"/>
      <c r="D53" s="602"/>
      <c r="E53" s="602"/>
      <c r="F53" s="602"/>
      <c r="G53" s="268"/>
      <c r="H53" s="625">
        <f>'Amend#1 Overview'!C8</f>
        <v>0</v>
      </c>
      <c r="I53" s="625"/>
      <c r="J53" s="625"/>
      <c r="K53" s="268"/>
      <c r="L53" s="626"/>
      <c r="M53" s="626"/>
      <c r="N53" s="626"/>
      <c r="O53" s="615"/>
      <c r="P53" s="611"/>
      <c r="Q53" s="611"/>
      <c r="R53" s="611"/>
      <c r="S53" s="616"/>
    </row>
    <row r="54" spans="1:19" x14ac:dyDescent="0.3">
      <c r="A54" s="627" t="s">
        <v>2060</v>
      </c>
      <c r="B54" s="628"/>
      <c r="C54" s="612" t="s">
        <v>2054</v>
      </c>
      <c r="D54" s="613"/>
      <c r="E54" s="613"/>
      <c r="F54" s="614"/>
      <c r="G54" s="268"/>
      <c r="H54" s="268"/>
      <c r="I54" s="268"/>
      <c r="J54" s="268"/>
      <c r="K54" s="268"/>
      <c r="L54" s="268"/>
      <c r="M54" s="268"/>
      <c r="N54" s="268"/>
      <c r="O54" s="615"/>
      <c r="P54" s="611"/>
      <c r="Q54" s="611"/>
      <c r="R54" s="611"/>
      <c r="S54" s="616"/>
    </row>
    <row r="55" spans="1:19" x14ac:dyDescent="0.3">
      <c r="A55" s="627"/>
      <c r="B55" s="628"/>
      <c r="C55" s="615"/>
      <c r="D55" s="611"/>
      <c r="E55" s="611"/>
      <c r="F55" s="616"/>
      <c r="G55" s="268"/>
      <c r="H55" s="602" t="s">
        <v>2058</v>
      </c>
      <c r="I55" s="602"/>
      <c r="J55" s="602"/>
      <c r="K55" s="268"/>
      <c r="L55" s="602" t="s">
        <v>2059</v>
      </c>
      <c r="M55" s="602"/>
      <c r="N55" s="602"/>
      <c r="O55" s="615"/>
      <c r="P55" s="611"/>
      <c r="Q55" s="611"/>
      <c r="R55" s="611"/>
      <c r="S55" s="616"/>
    </row>
    <row r="56" spans="1:19" ht="15" thickBot="1" x14ac:dyDescent="0.35">
      <c r="A56" s="627"/>
      <c r="B56" s="628"/>
      <c r="C56" s="615"/>
      <c r="D56" s="611"/>
      <c r="E56" s="611"/>
      <c r="F56" s="616"/>
      <c r="G56" s="268"/>
      <c r="H56" s="601" t="s">
        <v>2061</v>
      </c>
      <c r="I56" s="601"/>
      <c r="J56" s="601"/>
      <c r="K56" s="268"/>
      <c r="L56" s="601"/>
      <c r="M56" s="601"/>
      <c r="N56" s="601"/>
      <c r="O56" s="617"/>
      <c r="P56" s="618"/>
      <c r="Q56" s="618"/>
      <c r="R56" s="618"/>
      <c r="S56" s="619"/>
    </row>
    <row r="57" spans="1:19" ht="15" thickBot="1" x14ac:dyDescent="0.35">
      <c r="A57" s="270"/>
      <c r="B57" s="268"/>
      <c r="C57" s="615"/>
      <c r="D57" s="611"/>
      <c r="E57" s="611"/>
      <c r="F57" s="616"/>
      <c r="G57" s="268"/>
      <c r="H57" s="268"/>
      <c r="I57" s="268"/>
      <c r="J57" s="268"/>
      <c r="K57" s="268"/>
      <c r="L57" s="268"/>
      <c r="M57" s="268"/>
      <c r="N57" s="268"/>
      <c r="O57" s="268"/>
      <c r="P57" s="268"/>
      <c r="Q57" s="268"/>
      <c r="R57" s="268"/>
      <c r="S57" s="269"/>
    </row>
    <row r="58" spans="1:19" x14ac:dyDescent="0.3">
      <c r="A58" s="270"/>
      <c r="B58" s="268"/>
      <c r="C58" s="615"/>
      <c r="D58" s="611"/>
      <c r="E58" s="611"/>
      <c r="F58" s="616"/>
      <c r="G58" s="268"/>
      <c r="H58" s="602" t="s">
        <v>2057</v>
      </c>
      <c r="I58" s="602"/>
      <c r="J58" s="602"/>
      <c r="K58" s="268"/>
      <c r="L58" s="602" t="s">
        <v>2056</v>
      </c>
      <c r="M58" s="602"/>
      <c r="N58" s="602"/>
      <c r="O58" s="612" t="s">
        <v>2054</v>
      </c>
      <c r="P58" s="613"/>
      <c r="Q58" s="613"/>
      <c r="R58" s="613"/>
      <c r="S58" s="614"/>
    </row>
    <row r="59" spans="1:19" x14ac:dyDescent="0.3">
      <c r="A59" s="270"/>
      <c r="B59" s="268"/>
      <c r="C59" s="615"/>
      <c r="D59" s="611"/>
      <c r="E59" s="611"/>
      <c r="F59" s="616"/>
      <c r="G59" s="268"/>
      <c r="H59" s="625">
        <f>'Amend#1 Overview'!C8</f>
        <v>0</v>
      </c>
      <c r="I59" s="625"/>
      <c r="J59" s="625"/>
      <c r="K59" s="268"/>
      <c r="L59" s="626"/>
      <c r="M59" s="626"/>
      <c r="N59" s="626"/>
      <c r="O59" s="615"/>
      <c r="P59" s="611"/>
      <c r="Q59" s="611"/>
      <c r="R59" s="611"/>
      <c r="S59" s="616"/>
    </row>
    <row r="60" spans="1:19" x14ac:dyDescent="0.3">
      <c r="A60" s="270"/>
      <c r="B60" s="268"/>
      <c r="C60" s="615"/>
      <c r="D60" s="611"/>
      <c r="E60" s="611"/>
      <c r="F60" s="616"/>
      <c r="G60" s="268"/>
      <c r="H60" s="268"/>
      <c r="I60" s="268"/>
      <c r="J60" s="268"/>
      <c r="K60" s="268"/>
      <c r="L60" s="268"/>
      <c r="M60" s="268"/>
      <c r="N60" s="268"/>
      <c r="O60" s="615"/>
      <c r="P60" s="611"/>
      <c r="Q60" s="611"/>
      <c r="R60" s="611"/>
      <c r="S60" s="616"/>
    </row>
    <row r="61" spans="1:19" x14ac:dyDescent="0.3">
      <c r="A61" s="270"/>
      <c r="B61" s="268"/>
      <c r="C61" s="615"/>
      <c r="D61" s="611"/>
      <c r="E61" s="611"/>
      <c r="F61" s="616"/>
      <c r="G61" s="268"/>
      <c r="H61" s="602" t="s">
        <v>2058</v>
      </c>
      <c r="I61" s="602"/>
      <c r="J61" s="602"/>
      <c r="K61" s="268"/>
      <c r="L61" s="602" t="s">
        <v>2059</v>
      </c>
      <c r="M61" s="602"/>
      <c r="N61" s="602"/>
      <c r="O61" s="615"/>
      <c r="P61" s="611"/>
      <c r="Q61" s="611"/>
      <c r="R61" s="611"/>
      <c r="S61" s="616"/>
    </row>
    <row r="62" spans="1:19" ht="15" thickBot="1" x14ac:dyDescent="0.35">
      <c r="A62" s="270"/>
      <c r="B62" s="268"/>
      <c r="C62" s="615"/>
      <c r="D62" s="611"/>
      <c r="E62" s="611"/>
      <c r="F62" s="616"/>
      <c r="G62" s="268"/>
      <c r="H62" s="601" t="s">
        <v>2061</v>
      </c>
      <c r="I62" s="601"/>
      <c r="J62" s="601"/>
      <c r="K62" s="268"/>
      <c r="L62" s="601"/>
      <c r="M62" s="601"/>
      <c r="N62" s="601"/>
      <c r="O62" s="617"/>
      <c r="P62" s="618"/>
      <c r="Q62" s="618"/>
      <c r="R62" s="618"/>
      <c r="S62" s="619"/>
    </row>
    <row r="63" spans="1:19" x14ac:dyDescent="0.3">
      <c r="A63" s="270"/>
      <c r="B63" s="268"/>
      <c r="C63" s="615"/>
      <c r="D63" s="611"/>
      <c r="E63" s="611"/>
      <c r="F63" s="616"/>
      <c r="G63" s="268"/>
      <c r="H63" s="268"/>
      <c r="I63" s="268"/>
      <c r="J63" s="268"/>
      <c r="K63" s="268"/>
      <c r="L63" s="268"/>
      <c r="M63" s="268"/>
      <c r="N63" s="268"/>
      <c r="O63" s="268"/>
      <c r="P63" s="268"/>
      <c r="Q63" s="268"/>
      <c r="R63" s="268"/>
      <c r="S63" s="269"/>
    </row>
    <row r="64" spans="1:19" x14ac:dyDescent="0.3">
      <c r="A64" s="270"/>
      <c r="B64" s="268"/>
      <c r="C64" s="615"/>
      <c r="D64" s="611"/>
      <c r="E64" s="611"/>
      <c r="F64" s="616"/>
      <c r="G64" s="268"/>
      <c r="H64" s="268"/>
      <c r="I64" s="268"/>
      <c r="J64" s="268"/>
      <c r="K64" s="268"/>
      <c r="L64" s="268"/>
      <c r="M64" s="268"/>
      <c r="N64" s="268"/>
      <c r="O64" s="268"/>
      <c r="P64" s="268"/>
      <c r="Q64" s="268"/>
      <c r="R64" s="268"/>
      <c r="S64" s="269"/>
    </row>
    <row r="65" spans="1:19" x14ac:dyDescent="0.3">
      <c r="A65" s="270"/>
      <c r="B65" s="268"/>
      <c r="C65" s="615"/>
      <c r="D65" s="611"/>
      <c r="E65" s="611"/>
      <c r="F65" s="616"/>
      <c r="G65" s="268"/>
      <c r="H65" s="268"/>
      <c r="I65" s="268"/>
      <c r="J65" s="268"/>
      <c r="K65" s="268"/>
      <c r="L65" s="268"/>
      <c r="M65" s="268"/>
      <c r="N65" s="268"/>
      <c r="O65" s="268"/>
      <c r="P65" s="268"/>
      <c r="Q65" s="268"/>
      <c r="R65" s="268"/>
      <c r="S65" s="269"/>
    </row>
    <row r="66" spans="1:19" x14ac:dyDescent="0.3">
      <c r="A66" s="270"/>
      <c r="B66" s="268"/>
      <c r="C66" s="615"/>
      <c r="D66" s="611"/>
      <c r="E66" s="611"/>
      <c r="F66" s="616"/>
      <c r="G66" s="268"/>
      <c r="H66" s="268"/>
      <c r="I66" s="268"/>
      <c r="J66" s="268"/>
      <c r="K66" s="268"/>
      <c r="L66" s="268"/>
      <c r="M66" s="268"/>
      <c r="N66" s="268"/>
      <c r="O66" s="268"/>
      <c r="P66" s="268"/>
      <c r="Q66" s="268"/>
      <c r="R66" s="268"/>
      <c r="S66" s="269"/>
    </row>
    <row r="67" spans="1:19" x14ac:dyDescent="0.3">
      <c r="A67" s="270"/>
      <c r="B67" s="268"/>
      <c r="C67" s="615"/>
      <c r="D67" s="611"/>
      <c r="E67" s="611"/>
      <c r="F67" s="616"/>
      <c r="G67" s="268"/>
      <c r="H67" s="268"/>
      <c r="I67" s="268"/>
      <c r="J67" s="268"/>
      <c r="K67" s="268"/>
      <c r="L67" s="268"/>
      <c r="M67" s="268"/>
      <c r="N67" s="268"/>
      <c r="O67" s="268"/>
      <c r="P67" s="268"/>
      <c r="Q67" s="268"/>
      <c r="R67" s="268"/>
      <c r="S67" s="269"/>
    </row>
    <row r="68" spans="1:19" x14ac:dyDescent="0.3">
      <c r="A68" s="270"/>
      <c r="B68" s="268"/>
      <c r="C68" s="615"/>
      <c r="D68" s="611"/>
      <c r="E68" s="611"/>
      <c r="F68" s="616"/>
      <c r="G68" s="268"/>
      <c r="H68" s="268"/>
      <c r="I68" s="268"/>
      <c r="J68" s="268"/>
      <c r="K68" s="268"/>
      <c r="L68" s="268"/>
      <c r="M68" s="268"/>
      <c r="N68" s="268"/>
      <c r="O68" s="268"/>
      <c r="P68" s="268"/>
      <c r="Q68" s="268"/>
      <c r="R68" s="268"/>
      <c r="S68" s="269"/>
    </row>
    <row r="69" spans="1:19" x14ac:dyDescent="0.3">
      <c r="A69" s="270"/>
      <c r="B69" s="268"/>
      <c r="C69" s="615"/>
      <c r="D69" s="611"/>
      <c r="E69" s="611"/>
      <c r="F69" s="616"/>
      <c r="G69" s="268"/>
      <c r="H69" s="268"/>
      <c r="I69" s="268"/>
      <c r="J69" s="268"/>
      <c r="K69" s="268"/>
      <c r="L69" s="268"/>
      <c r="M69" s="268"/>
      <c r="N69" s="268"/>
      <c r="O69" s="268"/>
      <c r="P69" s="268"/>
      <c r="Q69" s="268"/>
      <c r="R69" s="268"/>
      <c r="S69" s="269"/>
    </row>
    <row r="70" spans="1:19" x14ac:dyDescent="0.3">
      <c r="A70" s="270"/>
      <c r="B70" s="268"/>
      <c r="C70" s="615"/>
      <c r="D70" s="611"/>
      <c r="E70" s="611"/>
      <c r="F70" s="616"/>
      <c r="G70" s="268"/>
      <c r="H70" s="268"/>
      <c r="I70" s="268"/>
      <c r="J70" s="268"/>
      <c r="K70" s="268"/>
      <c r="L70" s="268"/>
      <c r="M70" s="268"/>
      <c r="N70" s="268"/>
      <c r="O70" s="268"/>
      <c r="P70" s="268"/>
      <c r="Q70" s="268"/>
      <c r="R70" s="268"/>
      <c r="S70" s="269"/>
    </row>
    <row r="71" spans="1:19" ht="15" thickBot="1" x14ac:dyDescent="0.35">
      <c r="A71" s="272"/>
      <c r="B71" s="273"/>
      <c r="C71" s="617"/>
      <c r="D71" s="618"/>
      <c r="E71" s="618"/>
      <c r="F71" s="619"/>
      <c r="G71" s="273"/>
      <c r="H71" s="273"/>
      <c r="I71" s="273"/>
      <c r="J71" s="273"/>
      <c r="K71" s="273"/>
      <c r="L71" s="273"/>
      <c r="M71" s="273"/>
      <c r="N71" s="273"/>
      <c r="O71" s="273"/>
      <c r="P71" s="273"/>
      <c r="Q71" s="273"/>
      <c r="R71" s="273"/>
      <c r="S71" s="274"/>
    </row>
    <row r="72" spans="1:19" x14ac:dyDescent="0.3">
      <c r="G72" s="174"/>
    </row>
  </sheetData>
  <sheetProtection algorithmName="SHA-512" hashValue="nXiKi9Rsr1UTIHIGhKPIe8GTRpqm5yk3ZTjXrq8pJX8jGuA5j6ZUtUxq737v/7PqJWXNyw6CNZPySBZNQDeK8Q==" saltValue="V4IsY7RS8BzF3jPbdwC31Q==" spinCount="100000" sheet="1" objects="1" scenarios="1" selectLockedCells="1"/>
  <mergeCells count="78">
    <mergeCell ref="L62:N62"/>
    <mergeCell ref="H56:J56"/>
    <mergeCell ref="L56:N56"/>
    <mergeCell ref="H58:J58"/>
    <mergeCell ref="L58:N58"/>
    <mergeCell ref="H52:J52"/>
    <mergeCell ref="L52:N52"/>
    <mergeCell ref="O52:S56"/>
    <mergeCell ref="A53:F53"/>
    <mergeCell ref="H53:J53"/>
    <mergeCell ref="L53:N53"/>
    <mergeCell ref="A54:B56"/>
    <mergeCell ref="C54:F71"/>
    <mergeCell ref="H55:J55"/>
    <mergeCell ref="L55:N55"/>
    <mergeCell ref="O58:S62"/>
    <mergeCell ref="H59:J59"/>
    <mergeCell ref="L59:N59"/>
    <mergeCell ref="H61:J61"/>
    <mergeCell ref="L61:N61"/>
    <mergeCell ref="H62:J62"/>
    <mergeCell ref="L46:N46"/>
    <mergeCell ref="O46:S50"/>
    <mergeCell ref="H47:J47"/>
    <mergeCell ref="L47:N47"/>
    <mergeCell ref="H49:J49"/>
    <mergeCell ref="L49:N49"/>
    <mergeCell ref="H50:J50"/>
    <mergeCell ref="L50:N50"/>
    <mergeCell ref="A33:F33"/>
    <mergeCell ref="A34:B36"/>
    <mergeCell ref="C34:F51"/>
    <mergeCell ref="H38:S38"/>
    <mergeCell ref="H40:J40"/>
    <mergeCell ref="M18:S35"/>
    <mergeCell ref="H19:K26"/>
    <mergeCell ref="L40:N40"/>
    <mergeCell ref="O40:S44"/>
    <mergeCell ref="H41:J41"/>
    <mergeCell ref="L41:N41"/>
    <mergeCell ref="H43:J43"/>
    <mergeCell ref="L43:N43"/>
    <mergeCell ref="H44:J44"/>
    <mergeCell ref="L44:N44"/>
    <mergeCell ref="H46:J46"/>
    <mergeCell ref="A11:B11"/>
    <mergeCell ref="E11:F11"/>
    <mergeCell ref="A13:F13"/>
    <mergeCell ref="H13:S14"/>
    <mergeCell ref="A14:B16"/>
    <mergeCell ref="C14:F31"/>
    <mergeCell ref="H15:K15"/>
    <mergeCell ref="L15:O15"/>
    <mergeCell ref="P15:S15"/>
    <mergeCell ref="H16:K16"/>
    <mergeCell ref="L16:O16"/>
    <mergeCell ref="P16:S16"/>
    <mergeCell ref="H18:K18"/>
    <mergeCell ref="A8:B8"/>
    <mergeCell ref="E8:F8"/>
    <mergeCell ref="A9:B9"/>
    <mergeCell ref="E9:F9"/>
    <mergeCell ref="A10:B10"/>
    <mergeCell ref="E10:F10"/>
    <mergeCell ref="A5:B5"/>
    <mergeCell ref="C5:D5"/>
    <mergeCell ref="E5:F5"/>
    <mergeCell ref="A6:B6"/>
    <mergeCell ref="C6:D6"/>
    <mergeCell ref="E6:F6"/>
    <mergeCell ref="A4:B4"/>
    <mergeCell ref="C4:D4"/>
    <mergeCell ref="E4:F4"/>
    <mergeCell ref="A1:S1"/>
    <mergeCell ref="E2:F2"/>
    <mergeCell ref="A3:B3"/>
    <mergeCell ref="C3:D3"/>
    <mergeCell ref="E3:F3"/>
  </mergeCells>
  <dataValidations count="6">
    <dataValidation type="list" allowBlank="1" showInputMessage="1" showErrorMessage="1" sqref="H16:S16" xr:uid="{62C2E8CD-80FF-430A-854E-4492A546DBF0}">
      <formula1>"Choose One:,Yes, No, Not Applicable, 0 Participating"</formula1>
    </dataValidation>
    <dataValidation type="list" allowBlank="1" showInputMessage="1" showErrorMessage="1" sqref="A9:B9 E9:F9" xr:uid="{7E3E0194-4701-49CF-A161-853B0C88C448}">
      <formula1>"Choose One:,Yes, No, Not Applicable"</formula1>
    </dataValidation>
    <dataValidation type="list" allowBlank="1" showInputMessage="1" showErrorMessage="1" sqref="H44 H50 H56 H62" xr:uid="{498A10C1-2E46-42B3-919C-9E10CA46DC6A}">
      <formula1>"Choose one:,Sent E-mail, Left Voice Mail, Application Revision in Process, Revision Complete"</formula1>
    </dataValidation>
    <dataValidation type="list" allowBlank="1" showInputMessage="1" showErrorMessage="1" sqref="A54:B54 A34:B34 A14:B16" xr:uid="{812543E2-78EB-4769-872A-854A3D42682C}">
      <formula1>"Choose One:,Not Applicable,Budget and descriptions are complete.,Revisions needed."</formula1>
    </dataValidation>
    <dataValidation type="list" allowBlank="1" showInputMessage="1" showErrorMessage="1" sqref="D9" xr:uid="{6619C7F5-D933-42BC-B51E-05EC6425E525}">
      <formula1>"Yes, No, Not Applicable"</formula1>
    </dataValidation>
    <dataValidation type="list" allowBlank="1" showInputMessage="1" showErrorMessage="1" sqref="B2" xr:uid="{E968947E-5483-4119-B0E6-50F3346FE44B}">
      <formula1>"Choose one:,Adis Coulibaly, Brittany Kronmiller, Dwayne Marshall, Frank Chiki, Graham Collins, Meg Richert, Mitch Fortune, Tracie Mansfield"</formula1>
    </dataValidation>
  </dataValidations>
  <pageMargins left="0.7" right="0.7" top="0.75" bottom="0.75" header="0.3" footer="0.3"/>
  <pageSetup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26E5A-59B4-4769-A059-3F2945EEA0C5}">
  <sheetPr codeName="Sheet15">
    <tabColor theme="5" tint="-0.249977111117893"/>
  </sheetPr>
  <dimension ref="A1:M46"/>
  <sheetViews>
    <sheetView topLeftCell="A25" zoomScaleNormal="100" workbookViewId="0">
      <selection activeCell="D46" sqref="D46"/>
    </sheetView>
  </sheetViews>
  <sheetFormatPr defaultColWidth="9.109375" defaultRowHeight="14.4" x14ac:dyDescent="0.3"/>
  <cols>
    <col min="1" max="1" width="43.109375" style="14" customWidth="1"/>
    <col min="2" max="4" width="16.6640625" style="14" customWidth="1"/>
    <col min="5" max="5" width="4.5546875" style="14" customWidth="1"/>
    <col min="6" max="16384" width="9.109375" style="14"/>
  </cols>
  <sheetData>
    <row r="1" spans="1:13" x14ac:dyDescent="0.3">
      <c r="A1" s="737" t="s">
        <v>148</v>
      </c>
      <c r="B1" s="738"/>
      <c r="C1" s="738"/>
      <c r="D1" s="739"/>
    </row>
    <row r="2" spans="1:13" x14ac:dyDescent="0.3">
      <c r="A2" s="740" t="s">
        <v>1996</v>
      </c>
      <c r="B2" s="741"/>
      <c r="C2" s="741"/>
      <c r="D2" s="742"/>
    </row>
    <row r="3" spans="1:13" x14ac:dyDescent="0.3">
      <c r="A3" s="740" t="s">
        <v>1981</v>
      </c>
      <c r="B3" s="741"/>
      <c r="C3" s="741"/>
      <c r="D3" s="742"/>
    </row>
    <row r="4" spans="1:13" x14ac:dyDescent="0.3">
      <c r="A4" s="215" t="s">
        <v>149</v>
      </c>
      <c r="B4" s="216">
        <f>'Reimbursement Form'!B4</f>
        <v>0</v>
      </c>
      <c r="C4" s="217" t="s">
        <v>2029</v>
      </c>
      <c r="D4" s="218"/>
    </row>
    <row r="5" spans="1:13" x14ac:dyDescent="0.3">
      <c r="A5" s="107" t="s">
        <v>150</v>
      </c>
      <c r="B5" s="668">
        <f>Overview!C4</f>
        <v>0</v>
      </c>
      <c r="C5" s="668"/>
      <c r="D5" s="108"/>
    </row>
    <row r="6" spans="1:13" x14ac:dyDescent="0.3">
      <c r="A6" s="109" t="s">
        <v>151</v>
      </c>
      <c r="B6" s="669" t="s">
        <v>152</v>
      </c>
      <c r="C6" s="669"/>
      <c r="D6" s="670"/>
    </row>
    <row r="7" spans="1:13" x14ac:dyDescent="0.3">
      <c r="A7" s="109" t="s">
        <v>153</v>
      </c>
      <c r="B7" s="650" t="s">
        <v>154</v>
      </c>
      <c r="C7" s="650"/>
      <c r="D7" s="651"/>
    </row>
    <row r="8" spans="1:13" x14ac:dyDescent="0.3">
      <c r="A8" s="265" t="s">
        <v>2031</v>
      </c>
      <c r="B8" s="652" t="s">
        <v>1995</v>
      </c>
      <c r="C8" s="652"/>
      <c r="D8" s="653"/>
    </row>
    <row r="9" spans="1:13" ht="15" thickBot="1" x14ac:dyDescent="0.35">
      <c r="A9" s="654" t="s">
        <v>155</v>
      </c>
      <c r="B9" s="655"/>
      <c r="C9" s="655"/>
      <c r="D9" s="656"/>
    </row>
    <row r="10" spans="1:13" ht="27.6" x14ac:dyDescent="0.3">
      <c r="A10" s="657" t="s">
        <v>417</v>
      </c>
      <c r="B10" s="659" t="s">
        <v>156</v>
      </c>
      <c r="C10" s="156" t="s">
        <v>157</v>
      </c>
      <c r="D10" s="660" t="s">
        <v>158</v>
      </c>
      <c r="F10" s="409" t="s">
        <v>2013</v>
      </c>
      <c r="G10" s="410"/>
      <c r="H10" s="410"/>
      <c r="I10" s="410"/>
      <c r="J10" s="410"/>
      <c r="K10" s="410"/>
      <c r="L10" s="410"/>
      <c r="M10" s="411"/>
    </row>
    <row r="11" spans="1:13" ht="15" customHeight="1" thickBot="1" x14ac:dyDescent="0.35">
      <c r="A11" s="658"/>
      <c r="B11" s="659"/>
      <c r="C11" s="162" t="s">
        <v>159</v>
      </c>
      <c r="D11" s="661"/>
      <c r="F11" s="412"/>
      <c r="G11" s="413"/>
      <c r="H11" s="413"/>
      <c r="I11" s="413"/>
      <c r="J11" s="413"/>
      <c r="K11" s="413"/>
      <c r="L11" s="413"/>
      <c r="M11" s="414"/>
    </row>
    <row r="12" spans="1:13" ht="27.6" customHeight="1" x14ac:dyDescent="0.3">
      <c r="A12" s="110" t="s">
        <v>160</v>
      </c>
      <c r="B12" s="111">
        <f>'Amend#1 Main Budget'!G27</f>
        <v>0</v>
      </c>
      <c r="C12" s="154"/>
      <c r="D12" s="157"/>
      <c r="F12" s="644" t="s">
        <v>2014</v>
      </c>
      <c r="G12" s="645"/>
      <c r="H12" s="645"/>
      <c r="I12" s="645"/>
      <c r="J12" s="645"/>
      <c r="K12" s="645"/>
      <c r="L12" s="645"/>
      <c r="M12" s="646"/>
    </row>
    <row r="13" spans="1:13" ht="14.4" customHeight="1" x14ac:dyDescent="0.3">
      <c r="A13" s="110" t="s">
        <v>161</v>
      </c>
      <c r="B13" s="112">
        <f>'Amend#1 Main Budget'!G28</f>
        <v>0</v>
      </c>
      <c r="C13" s="154"/>
      <c r="D13" s="157"/>
      <c r="F13" s="644"/>
      <c r="G13" s="645"/>
      <c r="H13" s="645"/>
      <c r="I13" s="645"/>
      <c r="J13" s="645"/>
      <c r="K13" s="645"/>
      <c r="L13" s="645"/>
      <c r="M13" s="646"/>
    </row>
    <row r="14" spans="1:13" ht="14.4" customHeight="1" x14ac:dyDescent="0.3">
      <c r="A14" s="110" t="s">
        <v>162</v>
      </c>
      <c r="B14" s="111">
        <f>'Amend#1 Main Budget'!G29</f>
        <v>0</v>
      </c>
      <c r="C14" s="154"/>
      <c r="D14" s="157"/>
      <c r="F14" s="644"/>
      <c r="G14" s="645"/>
      <c r="H14" s="645"/>
      <c r="I14" s="645"/>
      <c r="J14" s="645"/>
      <c r="K14" s="645"/>
      <c r="L14" s="645"/>
      <c r="M14" s="646"/>
    </row>
    <row r="15" spans="1:13" ht="14.4" customHeight="1" x14ac:dyDescent="0.3">
      <c r="A15" s="110" t="s">
        <v>163</v>
      </c>
      <c r="B15" s="113">
        <f>'Amend#1 Main Budget'!M23-B19</f>
        <v>0</v>
      </c>
      <c r="C15" s="154"/>
      <c r="D15" s="157"/>
      <c r="F15" s="644"/>
      <c r="G15" s="645"/>
      <c r="H15" s="645"/>
      <c r="I15" s="645"/>
      <c r="J15" s="645"/>
      <c r="K15" s="645"/>
      <c r="L15" s="645"/>
      <c r="M15" s="646"/>
    </row>
    <row r="16" spans="1:13" ht="14.4" customHeight="1" x14ac:dyDescent="0.3">
      <c r="A16" s="110" t="s">
        <v>164</v>
      </c>
      <c r="B16" s="111">
        <f>'Amend#1 Main Budget'!M22-B20</f>
        <v>0</v>
      </c>
      <c r="C16" s="154"/>
      <c r="D16" s="157"/>
      <c r="F16" s="644"/>
      <c r="G16" s="645"/>
      <c r="H16" s="645"/>
      <c r="I16" s="645"/>
      <c r="J16" s="645"/>
      <c r="K16" s="645"/>
      <c r="L16" s="645"/>
      <c r="M16" s="646"/>
    </row>
    <row r="17" spans="1:13" ht="14.4" customHeight="1" x14ac:dyDescent="0.3">
      <c r="A17" s="110" t="s">
        <v>2018</v>
      </c>
      <c r="B17" s="245"/>
      <c r="C17" s="155"/>
      <c r="D17" s="157"/>
      <c r="F17" s="644"/>
      <c r="G17" s="645"/>
      <c r="H17" s="645"/>
      <c r="I17" s="645"/>
      <c r="J17" s="645"/>
      <c r="K17" s="645"/>
      <c r="L17" s="645"/>
      <c r="M17" s="646"/>
    </row>
    <row r="18" spans="1:13" ht="14.4" customHeight="1" x14ac:dyDescent="0.3">
      <c r="A18" s="110" t="s">
        <v>2019</v>
      </c>
      <c r="B18" s="245">
        <f>SUM('Amend#1 NPS Activities'!D112-(B19+B20))</f>
        <v>0</v>
      </c>
      <c r="C18" s="155"/>
      <c r="D18" s="157"/>
      <c r="F18" s="644"/>
      <c r="G18" s="645"/>
      <c r="H18" s="645"/>
      <c r="I18" s="645"/>
      <c r="J18" s="645"/>
      <c r="K18" s="645"/>
      <c r="L18" s="645"/>
      <c r="M18" s="646"/>
    </row>
    <row r="19" spans="1:13" ht="14.4" customHeight="1" x14ac:dyDescent="0.3">
      <c r="A19" s="110" t="s">
        <v>2020</v>
      </c>
      <c r="B19" s="245">
        <f>SUM('Amend#1 NPS Activities'!H30:H36)</f>
        <v>0</v>
      </c>
      <c r="C19" s="155"/>
      <c r="D19" s="157"/>
      <c r="F19" s="644"/>
      <c r="G19" s="645"/>
      <c r="H19" s="645"/>
      <c r="I19" s="645"/>
      <c r="J19" s="645"/>
      <c r="K19" s="645"/>
      <c r="L19" s="645"/>
      <c r="M19" s="646"/>
    </row>
    <row r="20" spans="1:13" ht="14.4" customHeight="1" x14ac:dyDescent="0.3">
      <c r="A20" s="110" t="s">
        <v>2021</v>
      </c>
      <c r="B20" s="245">
        <f>'Amend#1 NPS Activities'!H62</f>
        <v>0</v>
      </c>
      <c r="C20" s="155"/>
      <c r="D20" s="157"/>
      <c r="F20" s="644"/>
      <c r="G20" s="645"/>
      <c r="H20" s="645"/>
      <c r="I20" s="645"/>
      <c r="J20" s="645"/>
      <c r="K20" s="645"/>
      <c r="L20" s="645"/>
      <c r="M20" s="646"/>
    </row>
    <row r="21" spans="1:13" ht="14.4" customHeight="1" x14ac:dyDescent="0.3">
      <c r="A21" s="114" t="s">
        <v>165</v>
      </c>
      <c r="B21" s="115"/>
      <c r="C21" s="115"/>
      <c r="D21" s="115"/>
      <c r="F21" s="644"/>
      <c r="G21" s="645"/>
      <c r="H21" s="645"/>
      <c r="I21" s="645"/>
      <c r="J21" s="645"/>
      <c r="K21" s="645"/>
      <c r="L21" s="645"/>
      <c r="M21" s="646"/>
    </row>
    <row r="22" spans="1:13" ht="14.4" customHeight="1" x14ac:dyDescent="0.3">
      <c r="A22" s="116" t="s">
        <v>2006</v>
      </c>
      <c r="B22" s="117">
        <f>'Amend#1 Overview'!E19</f>
        <v>0</v>
      </c>
      <c r="C22" s="155"/>
      <c r="D22" s="157"/>
      <c r="F22" s="644"/>
      <c r="G22" s="645"/>
      <c r="H22" s="645"/>
      <c r="I22" s="645"/>
      <c r="J22" s="645"/>
      <c r="K22" s="645"/>
      <c r="L22" s="645"/>
      <c r="M22" s="646"/>
    </row>
    <row r="23" spans="1:13" ht="14.4" customHeight="1" x14ac:dyDescent="0.3">
      <c r="A23" s="116" t="s">
        <v>2007</v>
      </c>
      <c r="B23" s="117">
        <f>'Amend#1 Overview'!E20</f>
        <v>0</v>
      </c>
      <c r="C23" s="155"/>
      <c r="D23" s="157"/>
      <c r="F23" s="644"/>
      <c r="G23" s="645"/>
      <c r="H23" s="645"/>
      <c r="I23" s="645"/>
      <c r="J23" s="645"/>
      <c r="K23" s="645"/>
      <c r="L23" s="645"/>
      <c r="M23" s="646"/>
    </row>
    <row r="24" spans="1:13" ht="14.4" customHeight="1" x14ac:dyDescent="0.3">
      <c r="A24" s="116" t="s">
        <v>2008</v>
      </c>
      <c r="B24" s="117">
        <f>'Amend#1 Overview'!E21</f>
        <v>0</v>
      </c>
      <c r="C24" s="155"/>
      <c r="D24" s="157"/>
      <c r="F24" s="647"/>
      <c r="G24" s="648"/>
      <c r="H24" s="648"/>
      <c r="I24" s="648"/>
      <c r="J24" s="648"/>
      <c r="K24" s="648"/>
      <c r="L24" s="648"/>
      <c r="M24" s="649"/>
    </row>
    <row r="25" spans="1:13" x14ac:dyDescent="0.3">
      <c r="A25" s="116" t="s">
        <v>2009</v>
      </c>
      <c r="B25" s="117">
        <f>'Amend#1 Overview'!E22</f>
        <v>0</v>
      </c>
      <c r="C25" s="155"/>
      <c r="D25" s="157"/>
    </row>
    <row r="26" spans="1:13" x14ac:dyDescent="0.3">
      <c r="A26" s="116" t="s">
        <v>2010</v>
      </c>
      <c r="B26" s="117">
        <f>'Amend#1 Overview'!E23</f>
        <v>0</v>
      </c>
      <c r="C26" s="155"/>
      <c r="D26" s="157"/>
    </row>
    <row r="27" spans="1:13" ht="15" thickBot="1" x14ac:dyDescent="0.35">
      <c r="A27" s="248" t="s">
        <v>2011</v>
      </c>
      <c r="B27" s="249">
        <f>'Amend#1 Overview'!E24</f>
        <v>0</v>
      </c>
      <c r="C27" s="250"/>
      <c r="D27" s="251"/>
    </row>
    <row r="28" spans="1:13" ht="14.4" customHeight="1" x14ac:dyDescent="0.3">
      <c r="A28" s="246" t="s">
        <v>2022</v>
      </c>
      <c r="B28" s="247">
        <f>SUM(B12:B27)</f>
        <v>0</v>
      </c>
      <c r="C28" s="259"/>
      <c r="D28" s="260"/>
    </row>
    <row r="29" spans="1:13" ht="15" thickBot="1" x14ac:dyDescent="0.35">
      <c r="A29" s="248" t="s">
        <v>2024</v>
      </c>
      <c r="B29" s="249">
        <f>'Amend#1 Overview'!G11</f>
        <v>0</v>
      </c>
      <c r="C29" s="261"/>
      <c r="D29" s="262"/>
    </row>
    <row r="30" spans="1:13" ht="15" thickBot="1" x14ac:dyDescent="0.35">
      <c r="A30" s="254" t="s">
        <v>2023</v>
      </c>
      <c r="B30" s="255">
        <f>B28-B29</f>
        <v>0</v>
      </c>
      <c r="C30" s="256">
        <f>SUM(C12:C27)</f>
        <v>0</v>
      </c>
      <c r="D30" s="257">
        <f>SUM(D12:D27)</f>
        <v>0</v>
      </c>
    </row>
    <row r="31" spans="1:13" ht="40.799999999999997" x14ac:dyDescent="0.3">
      <c r="A31" s="671"/>
      <c r="B31" s="672"/>
      <c r="C31" s="252" t="s">
        <v>399</v>
      </c>
      <c r="D31" s="253"/>
    </row>
    <row r="32" spans="1:13" ht="64.8" customHeight="1" x14ac:dyDescent="0.3">
      <c r="A32" s="676" t="s">
        <v>166</v>
      </c>
      <c r="B32" s="676"/>
      <c r="C32" s="676"/>
      <c r="D32" s="676"/>
    </row>
    <row r="33" spans="1:4" x14ac:dyDescent="0.3">
      <c r="A33" s="118" t="s">
        <v>167</v>
      </c>
      <c r="B33" s="119" t="s">
        <v>168</v>
      </c>
      <c r="C33" s="677"/>
      <c r="D33" s="678"/>
    </row>
    <row r="34" spans="1:4" x14ac:dyDescent="0.3">
      <c r="A34" s="120" t="s">
        <v>169</v>
      </c>
      <c r="B34" s="679"/>
      <c r="C34" s="679"/>
      <c r="D34" s="680"/>
    </row>
    <row r="35" spans="1:4" x14ac:dyDescent="0.3">
      <c r="A35" s="120" t="s">
        <v>170</v>
      </c>
      <c r="B35" s="679"/>
      <c r="C35" s="679"/>
      <c r="D35" s="680"/>
    </row>
    <row r="36" spans="1:4" x14ac:dyDescent="0.3">
      <c r="A36" s="120" t="s">
        <v>171</v>
      </c>
      <c r="B36" s="679"/>
      <c r="C36" s="679"/>
      <c r="D36" s="680"/>
    </row>
    <row r="37" spans="1:4" ht="4.2" customHeight="1" x14ac:dyDescent="0.3">
      <c r="A37" s="121"/>
      <c r="B37" s="122"/>
      <c r="C37" s="122"/>
      <c r="D37" s="123"/>
    </row>
    <row r="38" spans="1:4" ht="3.6" customHeight="1" x14ac:dyDescent="0.3">
      <c r="A38" s="685"/>
      <c r="B38" s="685"/>
      <c r="C38" s="685"/>
      <c r="D38" s="685"/>
    </row>
    <row r="39" spans="1:4" x14ac:dyDescent="0.3">
      <c r="A39" s="124" t="s">
        <v>172</v>
      </c>
      <c r="B39" s="125" t="s">
        <v>168</v>
      </c>
      <c r="C39" s="681"/>
      <c r="D39" s="682"/>
    </row>
    <row r="40" spans="1:4" x14ac:dyDescent="0.3">
      <c r="A40" s="107" t="s">
        <v>169</v>
      </c>
      <c r="B40" s="683"/>
      <c r="C40" s="683"/>
      <c r="D40" s="684"/>
    </row>
    <row r="41" spans="1:4" ht="14.4" customHeight="1" x14ac:dyDescent="0.3">
      <c r="A41" s="107" t="s">
        <v>170</v>
      </c>
      <c r="B41" s="683"/>
      <c r="C41" s="683"/>
      <c r="D41" s="684"/>
    </row>
    <row r="42" spans="1:4" x14ac:dyDescent="0.3">
      <c r="A42" s="107" t="s">
        <v>171</v>
      </c>
      <c r="B42" s="683"/>
      <c r="C42" s="683"/>
      <c r="D42" s="684"/>
    </row>
    <row r="43" spans="1:4" ht="4.2" customHeight="1" x14ac:dyDescent="0.3">
      <c r="A43" s="126"/>
      <c r="B43" s="127"/>
      <c r="C43" s="127"/>
      <c r="D43" s="128"/>
    </row>
    <row r="44" spans="1:4" ht="3.6" customHeight="1" x14ac:dyDescent="0.3">
      <c r="A44" s="686"/>
      <c r="B44" s="686"/>
      <c r="C44" s="686"/>
      <c r="D44" s="686"/>
    </row>
    <row r="45" spans="1:4" x14ac:dyDescent="0.3">
      <c r="A45" s="673" t="s">
        <v>173</v>
      </c>
      <c r="B45" s="687" t="s">
        <v>174</v>
      </c>
      <c r="C45" s="674" t="s">
        <v>175</v>
      </c>
      <c r="D45" s="129" t="s">
        <v>176</v>
      </c>
    </row>
    <row r="46" spans="1:4" x14ac:dyDescent="0.3">
      <c r="A46" s="673"/>
      <c r="B46" s="687"/>
      <c r="C46" s="675"/>
      <c r="D46" s="382" t="s">
        <v>177</v>
      </c>
    </row>
  </sheetData>
  <sheetProtection algorithmName="SHA-512" hashValue="4KhUDKyszzuVYnbUtE8fXNHXhzTxMxV2kNoC8EXtMhqmEIb9eOigLslvquOVYhqELVl0jV4mPqBtRiXwBPXTXw==" saltValue="T2eShOvh+vGCKcbXeEAHbQ==" spinCount="100000" sheet="1" objects="1" scenarios="1" selectLockedCells="1"/>
  <mergeCells count="28">
    <mergeCell ref="B34:D34"/>
    <mergeCell ref="B7:D7"/>
    <mergeCell ref="A1:D1"/>
    <mergeCell ref="A2:D2"/>
    <mergeCell ref="A3:D3"/>
    <mergeCell ref="B5:C5"/>
    <mergeCell ref="B6:D6"/>
    <mergeCell ref="B8:D8"/>
    <mergeCell ref="A9:D9"/>
    <mergeCell ref="A10:A11"/>
    <mergeCell ref="B10:B11"/>
    <mergeCell ref="D10:D11"/>
    <mergeCell ref="F10:M11"/>
    <mergeCell ref="F12:M24"/>
    <mergeCell ref="B42:D42"/>
    <mergeCell ref="A44:D44"/>
    <mergeCell ref="A45:A46"/>
    <mergeCell ref="B45:B46"/>
    <mergeCell ref="C45:C46"/>
    <mergeCell ref="A38:D38"/>
    <mergeCell ref="C39:D39"/>
    <mergeCell ref="B40:D40"/>
    <mergeCell ref="B41:D41"/>
    <mergeCell ref="B35:D35"/>
    <mergeCell ref="B36:D36"/>
    <mergeCell ref="A31:B31"/>
    <mergeCell ref="A32:D32"/>
    <mergeCell ref="C33:D33"/>
  </mergeCells>
  <hyperlinks>
    <hyperlink ref="D46" r:id="rId1" xr:uid="{4104D866-AE0A-4929-B100-A16F778FDB5C}"/>
  </hyperlinks>
  <pageMargins left="0.5" right="0.5" top="0.5" bottom="0.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1" id="{9AADD4D2-55E1-4315-AE27-7FD20B253610}">
            <xm:f>$B$15&gt;Overview!$I$15</xm:f>
            <x14:dxf>
              <font>
                <b/>
                <i val="0"/>
                <color rgb="FFFFFF00"/>
              </font>
              <fill>
                <patternFill>
                  <bgColor rgb="FFFF0000"/>
                </patternFill>
              </fill>
            </x14:dxf>
          </x14:cfRule>
          <xm:sqref>B15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92D050"/>
  </sheetPr>
  <dimension ref="A1:O58"/>
  <sheetViews>
    <sheetView showGridLines="0" zoomScaleNormal="100" workbookViewId="0">
      <selection activeCell="C4" sqref="C4:D4"/>
    </sheetView>
  </sheetViews>
  <sheetFormatPr defaultColWidth="8.88671875" defaultRowHeight="14.4" x14ac:dyDescent="0.3"/>
  <cols>
    <col min="1" max="9" width="8.88671875" style="14"/>
    <col min="10" max="10" width="9.88671875" style="14" customWidth="1"/>
    <col min="11" max="14" width="8.88671875" style="14"/>
    <col min="15" max="15" width="3.109375" style="14" customWidth="1"/>
    <col min="16" max="16384" width="8.88671875" style="14"/>
  </cols>
  <sheetData>
    <row r="1" spans="1:13" ht="24" x14ac:dyDescent="0.3">
      <c r="A1" s="461" t="s">
        <v>133</v>
      </c>
      <c r="B1" s="461"/>
      <c r="C1" s="461"/>
      <c r="D1" s="461"/>
      <c r="E1" s="461"/>
      <c r="F1" s="461"/>
      <c r="G1" s="461"/>
      <c r="H1" s="461"/>
      <c r="I1" s="461"/>
      <c r="J1" s="461"/>
      <c r="K1" s="461"/>
      <c r="L1" s="461"/>
      <c r="M1" s="461"/>
    </row>
    <row r="2" spans="1:13" x14ac:dyDescent="0.3">
      <c r="A2" s="435" t="s">
        <v>100</v>
      </c>
      <c r="B2" s="435"/>
      <c r="C2" s="435"/>
      <c r="D2" s="435"/>
      <c r="E2" s="435"/>
      <c r="F2" s="435"/>
      <c r="G2" s="435"/>
      <c r="H2" s="435"/>
      <c r="I2" s="435"/>
      <c r="J2" s="435"/>
      <c r="K2" s="435"/>
      <c r="L2" s="435"/>
      <c r="M2" s="435"/>
    </row>
    <row r="3" spans="1:13" x14ac:dyDescent="0.3">
      <c r="A3" s="196"/>
      <c r="B3" s="189"/>
      <c r="C3" s="189"/>
      <c r="D3" s="189"/>
      <c r="E3" s="189"/>
      <c r="F3" s="189"/>
      <c r="G3" s="189"/>
      <c r="H3" s="189"/>
      <c r="I3" s="189"/>
      <c r="J3" s="189"/>
      <c r="K3" s="189"/>
      <c r="L3" s="189"/>
      <c r="M3" s="197"/>
    </row>
    <row r="4" spans="1:13" ht="15" thickBot="1" x14ac:dyDescent="0.35">
      <c r="A4" s="198"/>
      <c r="B4" s="30"/>
      <c r="C4" s="463"/>
      <c r="D4" s="463"/>
      <c r="E4" s="199" t="s">
        <v>102</v>
      </c>
      <c r="F4" s="464">
        <f>I56</f>
        <v>0</v>
      </c>
      <c r="G4" s="464"/>
      <c r="H4" s="464"/>
      <c r="I4" s="199" t="s">
        <v>104</v>
      </c>
      <c r="J4" s="470">
        <f>C4+F4</f>
        <v>0</v>
      </c>
      <c r="K4" s="470"/>
      <c r="L4" s="470"/>
      <c r="M4" s="200"/>
    </row>
    <row r="5" spans="1:13" x14ac:dyDescent="0.3">
      <c r="A5" s="198"/>
      <c r="B5" s="30"/>
      <c r="C5" s="462" t="s">
        <v>99</v>
      </c>
      <c r="D5" s="462"/>
      <c r="E5" s="30"/>
      <c r="F5" s="462" t="s">
        <v>103</v>
      </c>
      <c r="G5" s="462"/>
      <c r="H5" s="462"/>
      <c r="I5" s="462"/>
      <c r="J5" s="469" t="s">
        <v>101</v>
      </c>
      <c r="K5" s="469"/>
      <c r="L5" s="469"/>
      <c r="M5" s="200"/>
    </row>
    <row r="6" spans="1:13" ht="9.6" customHeight="1" x14ac:dyDescent="0.3">
      <c r="A6" s="198"/>
      <c r="B6" s="30"/>
      <c r="C6" s="188"/>
      <c r="D6" s="188"/>
      <c r="E6" s="30"/>
      <c r="F6" s="188"/>
      <c r="G6" s="188"/>
      <c r="H6" s="188"/>
      <c r="I6" s="188"/>
      <c r="J6" s="30"/>
      <c r="K6" s="30"/>
      <c r="L6" s="30"/>
      <c r="M6" s="200"/>
    </row>
    <row r="7" spans="1:13" ht="15" thickBot="1" x14ac:dyDescent="0.35">
      <c r="A7" s="198"/>
      <c r="B7" s="30"/>
      <c r="C7" s="471" t="str">
        <f>IFERROR(Overview!G12," ")</f>
        <v/>
      </c>
      <c r="D7" s="464"/>
      <c r="E7" s="199" t="s">
        <v>111</v>
      </c>
      <c r="F7" s="472">
        <f>J4</f>
        <v>0</v>
      </c>
      <c r="G7" s="464"/>
      <c r="H7" s="464"/>
      <c r="I7" s="199" t="s">
        <v>104</v>
      </c>
      <c r="J7" s="802" t="str">
        <f>IFERROR((C7/F7),"")</f>
        <v/>
      </c>
      <c r="K7" s="802"/>
      <c r="L7" s="802"/>
      <c r="M7" s="200"/>
    </row>
    <row r="8" spans="1:13" x14ac:dyDescent="0.3">
      <c r="A8" s="198"/>
      <c r="B8" s="30"/>
      <c r="C8" s="462" t="s">
        <v>178</v>
      </c>
      <c r="D8" s="462"/>
      <c r="E8" s="30"/>
      <c r="F8" s="30" t="s">
        <v>101</v>
      </c>
      <c r="G8" s="30"/>
      <c r="H8" s="30"/>
      <c r="I8" s="30"/>
      <c r="J8" s="465" t="s">
        <v>105</v>
      </c>
      <c r="K8" s="465"/>
      <c r="L8" s="465"/>
      <c r="M8" s="200"/>
    </row>
    <row r="9" spans="1:13" ht="9.6" customHeight="1" x14ac:dyDescent="0.3">
      <c r="A9" s="198"/>
      <c r="B9" s="30"/>
      <c r="C9" s="30"/>
      <c r="D9" s="30"/>
      <c r="E9" s="30"/>
      <c r="F9" s="30"/>
      <c r="G9" s="30"/>
      <c r="H9" s="30"/>
      <c r="I9" s="30"/>
      <c r="J9" s="30"/>
      <c r="K9" s="30"/>
      <c r="L9" s="30"/>
      <c r="M9" s="200"/>
    </row>
    <row r="10" spans="1:13" x14ac:dyDescent="0.3">
      <c r="A10" s="201"/>
      <c r="B10" s="202"/>
      <c r="C10" s="202"/>
      <c r="D10" s="202"/>
      <c r="E10" s="202"/>
      <c r="F10" s="202"/>
      <c r="G10" s="202"/>
      <c r="H10" s="202"/>
      <c r="I10" s="202"/>
      <c r="J10" s="202"/>
      <c r="K10" s="202"/>
      <c r="L10" s="202"/>
      <c r="M10" s="203"/>
    </row>
    <row r="11" spans="1:13" s="59" customFormat="1" ht="43.2" customHeight="1" x14ac:dyDescent="0.3">
      <c r="A11" s="466" t="s">
        <v>106</v>
      </c>
      <c r="B11" s="467"/>
      <c r="C11" s="467"/>
      <c r="D11" s="467" t="s">
        <v>107</v>
      </c>
      <c r="E11" s="467"/>
      <c r="F11" s="467"/>
      <c r="G11" s="467"/>
      <c r="H11" s="467"/>
      <c r="I11" s="467" t="s">
        <v>112</v>
      </c>
      <c r="J11" s="467"/>
      <c r="K11" s="467" t="s">
        <v>110</v>
      </c>
      <c r="L11" s="467"/>
      <c r="M11" s="468"/>
    </row>
    <row r="12" spans="1:13" x14ac:dyDescent="0.3">
      <c r="A12" s="453"/>
      <c r="B12" s="453"/>
      <c r="C12" s="453"/>
      <c r="D12" s="460" t="str">
        <f>IFERROR(VLOOKUP(A12,NPS!A2:B813,2,FALSE)," ")</f>
        <v xml:space="preserve"> </v>
      </c>
      <c r="E12" s="460"/>
      <c r="F12" s="460"/>
      <c r="G12" s="460"/>
      <c r="H12" s="460"/>
      <c r="I12" s="453"/>
      <c r="J12" s="453"/>
      <c r="K12" s="456" t="str">
        <f>IFERROR(I12*$J$7," ")</f>
        <v xml:space="preserve"> </v>
      </c>
      <c r="L12" s="456"/>
      <c r="M12" s="457"/>
    </row>
    <row r="13" spans="1:13" x14ac:dyDescent="0.3">
      <c r="A13" s="458"/>
      <c r="B13" s="458"/>
      <c r="C13" s="458"/>
      <c r="D13" s="459" t="str">
        <f>IFERROR(VLOOKUP(A13,NPS!A3:B814,2,FALSE)," ")</f>
        <v xml:space="preserve"> </v>
      </c>
      <c r="E13" s="459"/>
      <c r="F13" s="459"/>
      <c r="G13" s="459"/>
      <c r="H13" s="459"/>
      <c r="I13" s="458"/>
      <c r="J13" s="458"/>
      <c r="K13" s="454" t="str">
        <f t="shared" ref="K13:K56" si="0">IFERROR(I13*$J$7," ")</f>
        <v xml:space="preserve"> </v>
      </c>
      <c r="L13" s="454"/>
      <c r="M13" s="455"/>
    </row>
    <row r="14" spans="1:13" x14ac:dyDescent="0.3">
      <c r="A14" s="453"/>
      <c r="B14" s="453"/>
      <c r="C14" s="453"/>
      <c r="D14" s="460" t="str">
        <f>IFERROR(VLOOKUP(A14,NPS!A4:B815,2,FALSE)," ")</f>
        <v xml:space="preserve"> </v>
      </c>
      <c r="E14" s="460"/>
      <c r="F14" s="460"/>
      <c r="G14" s="460"/>
      <c r="H14" s="460"/>
      <c r="I14" s="453"/>
      <c r="J14" s="453"/>
      <c r="K14" s="456" t="str">
        <f t="shared" si="0"/>
        <v xml:space="preserve"> </v>
      </c>
      <c r="L14" s="456"/>
      <c r="M14" s="457"/>
    </row>
    <row r="15" spans="1:13" x14ac:dyDescent="0.3">
      <c r="A15" s="458"/>
      <c r="B15" s="458"/>
      <c r="C15" s="458"/>
      <c r="D15" s="459" t="str">
        <f>IFERROR(VLOOKUP(A15,NPS!A5:B816,2,FALSE)," ")</f>
        <v xml:space="preserve"> </v>
      </c>
      <c r="E15" s="459"/>
      <c r="F15" s="459"/>
      <c r="G15" s="459"/>
      <c r="H15" s="459"/>
      <c r="I15" s="458"/>
      <c r="J15" s="458"/>
      <c r="K15" s="454" t="str">
        <f t="shared" si="0"/>
        <v xml:space="preserve"> </v>
      </c>
      <c r="L15" s="454"/>
      <c r="M15" s="455"/>
    </row>
    <row r="16" spans="1:13" x14ac:dyDescent="0.3">
      <c r="A16" s="453"/>
      <c r="B16" s="453"/>
      <c r="C16" s="453"/>
      <c r="D16" s="460" t="str">
        <f>IFERROR(VLOOKUP(A16,NPS!A6:B817,2,FALSE)," ")</f>
        <v xml:space="preserve"> </v>
      </c>
      <c r="E16" s="460"/>
      <c r="F16" s="460"/>
      <c r="G16" s="460"/>
      <c r="H16" s="460"/>
      <c r="I16" s="453"/>
      <c r="J16" s="453"/>
      <c r="K16" s="456" t="str">
        <f t="shared" si="0"/>
        <v xml:space="preserve"> </v>
      </c>
      <c r="L16" s="456"/>
      <c r="M16" s="457"/>
    </row>
    <row r="17" spans="1:13" x14ac:dyDescent="0.3">
      <c r="A17" s="458"/>
      <c r="B17" s="458"/>
      <c r="C17" s="458"/>
      <c r="D17" s="459" t="str">
        <f>IFERROR(VLOOKUP(A17,NPS!A7:B818,2,FALSE)," ")</f>
        <v xml:space="preserve"> </v>
      </c>
      <c r="E17" s="459"/>
      <c r="F17" s="459"/>
      <c r="G17" s="459"/>
      <c r="H17" s="459"/>
      <c r="I17" s="458"/>
      <c r="J17" s="458"/>
      <c r="K17" s="454" t="str">
        <f t="shared" si="0"/>
        <v xml:space="preserve"> </v>
      </c>
      <c r="L17" s="454"/>
      <c r="M17" s="455"/>
    </row>
    <row r="18" spans="1:13" x14ac:dyDescent="0.3">
      <c r="A18" s="453"/>
      <c r="B18" s="453"/>
      <c r="C18" s="453"/>
      <c r="D18" s="460" t="str">
        <f>IFERROR(VLOOKUP(A18,NPS!A8:B819,2,FALSE)," ")</f>
        <v xml:space="preserve"> </v>
      </c>
      <c r="E18" s="460"/>
      <c r="F18" s="460"/>
      <c r="G18" s="460"/>
      <c r="H18" s="460"/>
      <c r="I18" s="453"/>
      <c r="J18" s="453"/>
      <c r="K18" s="456" t="str">
        <f t="shared" si="0"/>
        <v xml:space="preserve"> </v>
      </c>
      <c r="L18" s="456"/>
      <c r="M18" s="457"/>
    </row>
    <row r="19" spans="1:13" x14ac:dyDescent="0.3">
      <c r="A19" s="458"/>
      <c r="B19" s="458"/>
      <c r="C19" s="458"/>
      <c r="D19" s="459" t="str">
        <f>IFERROR(VLOOKUP(A19,NPS!A9:B820,2,FALSE)," ")</f>
        <v xml:space="preserve"> </v>
      </c>
      <c r="E19" s="459"/>
      <c r="F19" s="459"/>
      <c r="G19" s="459"/>
      <c r="H19" s="459"/>
      <c r="I19" s="458"/>
      <c r="J19" s="458"/>
      <c r="K19" s="454" t="str">
        <f t="shared" si="0"/>
        <v xml:space="preserve"> </v>
      </c>
      <c r="L19" s="454"/>
      <c r="M19" s="455"/>
    </row>
    <row r="20" spans="1:13" x14ac:dyDescent="0.3">
      <c r="A20" s="453"/>
      <c r="B20" s="453"/>
      <c r="C20" s="453"/>
      <c r="D20" s="460" t="str">
        <f>IFERROR(VLOOKUP(A20,NPS!A10:B821,2,FALSE)," ")</f>
        <v xml:space="preserve"> </v>
      </c>
      <c r="E20" s="460"/>
      <c r="F20" s="460"/>
      <c r="G20" s="460"/>
      <c r="H20" s="460"/>
      <c r="I20" s="453"/>
      <c r="J20" s="453"/>
      <c r="K20" s="456" t="str">
        <f t="shared" si="0"/>
        <v xml:space="preserve"> </v>
      </c>
      <c r="L20" s="456"/>
      <c r="M20" s="457"/>
    </row>
    <row r="21" spans="1:13" x14ac:dyDescent="0.3">
      <c r="A21" s="458"/>
      <c r="B21" s="458"/>
      <c r="C21" s="458"/>
      <c r="D21" s="459" t="str">
        <f>IFERROR(VLOOKUP(A21,NPS!A11:B822,2,FALSE)," ")</f>
        <v xml:space="preserve"> </v>
      </c>
      <c r="E21" s="459"/>
      <c r="F21" s="459"/>
      <c r="G21" s="459"/>
      <c r="H21" s="459"/>
      <c r="I21" s="458"/>
      <c r="J21" s="458"/>
      <c r="K21" s="454" t="str">
        <f t="shared" si="0"/>
        <v xml:space="preserve"> </v>
      </c>
      <c r="L21" s="454"/>
      <c r="M21" s="455"/>
    </row>
    <row r="22" spans="1:13" x14ac:dyDescent="0.3">
      <c r="A22" s="453"/>
      <c r="B22" s="453"/>
      <c r="C22" s="453"/>
      <c r="D22" s="460" t="str">
        <f>IFERROR(VLOOKUP(A22,NPS!A12:B823,2,FALSE)," ")</f>
        <v xml:space="preserve"> </v>
      </c>
      <c r="E22" s="460"/>
      <c r="F22" s="460"/>
      <c r="G22" s="460"/>
      <c r="H22" s="460"/>
      <c r="I22" s="453"/>
      <c r="J22" s="453"/>
      <c r="K22" s="456" t="str">
        <f t="shared" si="0"/>
        <v xml:space="preserve"> </v>
      </c>
      <c r="L22" s="456"/>
      <c r="M22" s="457"/>
    </row>
    <row r="23" spans="1:13" x14ac:dyDescent="0.3">
      <c r="A23" s="458"/>
      <c r="B23" s="458"/>
      <c r="C23" s="458"/>
      <c r="D23" s="459" t="str">
        <f>IFERROR(VLOOKUP(A23,NPS!A13:B824,2,FALSE)," ")</f>
        <v xml:space="preserve"> </v>
      </c>
      <c r="E23" s="459"/>
      <c r="F23" s="459"/>
      <c r="G23" s="459"/>
      <c r="H23" s="459"/>
      <c r="I23" s="458"/>
      <c r="J23" s="458"/>
      <c r="K23" s="454" t="str">
        <f t="shared" si="0"/>
        <v xml:space="preserve"> </v>
      </c>
      <c r="L23" s="454"/>
      <c r="M23" s="455"/>
    </row>
    <row r="24" spans="1:13" x14ac:dyDescent="0.3">
      <c r="A24" s="453"/>
      <c r="B24" s="453"/>
      <c r="C24" s="453"/>
      <c r="D24" s="460" t="str">
        <f>IFERROR(VLOOKUP(A24,NPS!A14:B825,2,FALSE)," ")</f>
        <v xml:space="preserve"> </v>
      </c>
      <c r="E24" s="460"/>
      <c r="F24" s="460"/>
      <c r="G24" s="460"/>
      <c r="H24" s="460"/>
      <c r="I24" s="453"/>
      <c r="J24" s="453"/>
      <c r="K24" s="456" t="str">
        <f t="shared" si="0"/>
        <v xml:space="preserve"> </v>
      </c>
      <c r="L24" s="456"/>
      <c r="M24" s="457"/>
    </row>
    <row r="25" spans="1:13" x14ac:dyDescent="0.3">
      <c r="A25" s="458"/>
      <c r="B25" s="458"/>
      <c r="C25" s="458"/>
      <c r="D25" s="459" t="str">
        <f>IFERROR(VLOOKUP(A25,NPS!A15:B826,2,FALSE)," ")</f>
        <v xml:space="preserve"> </v>
      </c>
      <c r="E25" s="459"/>
      <c r="F25" s="459"/>
      <c r="G25" s="459"/>
      <c r="H25" s="459"/>
      <c r="I25" s="458"/>
      <c r="J25" s="458"/>
      <c r="K25" s="454" t="str">
        <f t="shared" si="0"/>
        <v xml:space="preserve"> </v>
      </c>
      <c r="L25" s="454"/>
      <c r="M25" s="455"/>
    </row>
    <row r="26" spans="1:13" x14ac:dyDescent="0.3">
      <c r="A26" s="453"/>
      <c r="B26" s="453"/>
      <c r="C26" s="453"/>
      <c r="D26" s="460" t="str">
        <f>IFERROR(VLOOKUP(A26,NPS!A16:B827,2,FALSE)," ")</f>
        <v xml:space="preserve"> </v>
      </c>
      <c r="E26" s="460"/>
      <c r="F26" s="460"/>
      <c r="G26" s="460"/>
      <c r="H26" s="460"/>
      <c r="I26" s="453"/>
      <c r="J26" s="453"/>
      <c r="K26" s="456" t="str">
        <f t="shared" si="0"/>
        <v xml:space="preserve"> </v>
      </c>
      <c r="L26" s="456"/>
      <c r="M26" s="457"/>
    </row>
    <row r="27" spans="1:13" x14ac:dyDescent="0.3">
      <c r="A27" s="458"/>
      <c r="B27" s="458"/>
      <c r="C27" s="458"/>
      <c r="D27" s="459" t="str">
        <f>IFERROR(VLOOKUP(A27,NPS!A17:B828,2,FALSE)," ")</f>
        <v xml:space="preserve"> </v>
      </c>
      <c r="E27" s="459"/>
      <c r="F27" s="459"/>
      <c r="G27" s="459"/>
      <c r="H27" s="459"/>
      <c r="I27" s="458"/>
      <c r="J27" s="458"/>
      <c r="K27" s="454" t="str">
        <f t="shared" si="0"/>
        <v xml:space="preserve"> </v>
      </c>
      <c r="L27" s="454"/>
      <c r="M27" s="455"/>
    </row>
    <row r="28" spans="1:13" x14ac:dyDescent="0.3">
      <c r="A28" s="453"/>
      <c r="B28" s="453"/>
      <c r="C28" s="453"/>
      <c r="D28" s="460" t="str">
        <f>IFERROR(VLOOKUP(A28,NPS!A18:B829,2,FALSE)," ")</f>
        <v xml:space="preserve"> </v>
      </c>
      <c r="E28" s="460"/>
      <c r="F28" s="460"/>
      <c r="G28" s="460"/>
      <c r="H28" s="460"/>
      <c r="I28" s="453"/>
      <c r="J28" s="453"/>
      <c r="K28" s="456" t="str">
        <f t="shared" si="0"/>
        <v xml:space="preserve"> </v>
      </c>
      <c r="L28" s="456"/>
      <c r="M28" s="457"/>
    </row>
    <row r="29" spans="1:13" x14ac:dyDescent="0.3">
      <c r="A29" s="458"/>
      <c r="B29" s="458"/>
      <c r="C29" s="458"/>
      <c r="D29" s="459" t="str">
        <f>IFERROR(VLOOKUP(A29,NPS!A19:B830,2,FALSE)," ")</f>
        <v xml:space="preserve"> </v>
      </c>
      <c r="E29" s="459"/>
      <c r="F29" s="459"/>
      <c r="G29" s="459"/>
      <c r="H29" s="459"/>
      <c r="I29" s="458"/>
      <c r="J29" s="458"/>
      <c r="K29" s="454" t="str">
        <f t="shared" si="0"/>
        <v xml:space="preserve"> </v>
      </c>
      <c r="L29" s="454"/>
      <c r="M29" s="455"/>
    </row>
    <row r="30" spans="1:13" x14ac:dyDescent="0.3">
      <c r="A30" s="453"/>
      <c r="B30" s="453"/>
      <c r="C30" s="453"/>
      <c r="D30" s="460" t="str">
        <f>IFERROR(VLOOKUP(A30,NPS!A20:B831,2,FALSE)," ")</f>
        <v xml:space="preserve"> </v>
      </c>
      <c r="E30" s="460"/>
      <c r="F30" s="460"/>
      <c r="G30" s="460"/>
      <c r="H30" s="460"/>
      <c r="I30" s="453"/>
      <c r="J30" s="453"/>
      <c r="K30" s="456" t="str">
        <f t="shared" si="0"/>
        <v xml:space="preserve"> </v>
      </c>
      <c r="L30" s="456"/>
      <c r="M30" s="457"/>
    </row>
    <row r="31" spans="1:13" x14ac:dyDescent="0.3">
      <c r="A31" s="458"/>
      <c r="B31" s="458"/>
      <c r="C31" s="458"/>
      <c r="D31" s="459" t="str">
        <f>IFERROR(VLOOKUP(A31,NPS!A21:B832,2,FALSE)," ")</f>
        <v xml:space="preserve"> </v>
      </c>
      <c r="E31" s="459"/>
      <c r="F31" s="459"/>
      <c r="G31" s="459"/>
      <c r="H31" s="459"/>
      <c r="I31" s="458"/>
      <c r="J31" s="458"/>
      <c r="K31" s="454" t="str">
        <f t="shared" si="0"/>
        <v xml:space="preserve"> </v>
      </c>
      <c r="L31" s="454"/>
      <c r="M31" s="455"/>
    </row>
    <row r="32" spans="1:13" x14ac:dyDescent="0.3">
      <c r="A32" s="453"/>
      <c r="B32" s="453"/>
      <c r="C32" s="453"/>
      <c r="D32" s="460" t="str">
        <f>IFERROR(VLOOKUP(A32,NPS!A22:B833,2,FALSE)," ")</f>
        <v xml:space="preserve"> </v>
      </c>
      <c r="E32" s="460"/>
      <c r="F32" s="460"/>
      <c r="G32" s="460"/>
      <c r="H32" s="460"/>
      <c r="I32" s="453"/>
      <c r="J32" s="453"/>
      <c r="K32" s="456" t="str">
        <f t="shared" si="0"/>
        <v xml:space="preserve"> </v>
      </c>
      <c r="L32" s="456"/>
      <c r="M32" s="457"/>
    </row>
    <row r="33" spans="1:13" x14ac:dyDescent="0.3">
      <c r="A33" s="458"/>
      <c r="B33" s="458"/>
      <c r="C33" s="458"/>
      <c r="D33" s="459" t="str">
        <f>IFERROR(VLOOKUP(A33,NPS!A23:B834,2,FALSE)," ")</f>
        <v xml:space="preserve"> </v>
      </c>
      <c r="E33" s="459"/>
      <c r="F33" s="459"/>
      <c r="G33" s="459"/>
      <c r="H33" s="459"/>
      <c r="I33" s="458"/>
      <c r="J33" s="458"/>
      <c r="K33" s="454" t="str">
        <f t="shared" si="0"/>
        <v xml:space="preserve"> </v>
      </c>
      <c r="L33" s="454"/>
      <c r="M33" s="455"/>
    </row>
    <row r="34" spans="1:13" x14ac:dyDescent="0.3">
      <c r="A34" s="453"/>
      <c r="B34" s="453"/>
      <c r="C34" s="453"/>
      <c r="D34" s="460" t="str">
        <f>IFERROR(VLOOKUP(A34,NPS!A24:B835,2,FALSE)," ")</f>
        <v xml:space="preserve"> </v>
      </c>
      <c r="E34" s="460"/>
      <c r="F34" s="460"/>
      <c r="G34" s="460"/>
      <c r="H34" s="460"/>
      <c r="I34" s="453"/>
      <c r="J34" s="453"/>
      <c r="K34" s="456" t="str">
        <f t="shared" si="0"/>
        <v xml:space="preserve"> </v>
      </c>
      <c r="L34" s="456"/>
      <c r="M34" s="457"/>
    </row>
    <row r="35" spans="1:13" x14ac:dyDescent="0.3">
      <c r="A35" s="458"/>
      <c r="B35" s="458"/>
      <c r="C35" s="458"/>
      <c r="D35" s="459" t="str">
        <f>IFERROR(VLOOKUP(A35,NPS!A25:B836,2,FALSE)," ")</f>
        <v xml:space="preserve"> </v>
      </c>
      <c r="E35" s="459"/>
      <c r="F35" s="459"/>
      <c r="G35" s="459"/>
      <c r="H35" s="459"/>
      <c r="I35" s="458"/>
      <c r="J35" s="458"/>
      <c r="K35" s="454" t="str">
        <f t="shared" si="0"/>
        <v xml:space="preserve"> </v>
      </c>
      <c r="L35" s="454"/>
      <c r="M35" s="455"/>
    </row>
    <row r="36" spans="1:13" x14ac:dyDescent="0.3">
      <c r="A36" s="453"/>
      <c r="B36" s="453"/>
      <c r="C36" s="453"/>
      <c r="D36" s="460" t="str">
        <f>IFERROR(VLOOKUP(A36,NPS!A26:B837,2,FALSE)," ")</f>
        <v xml:space="preserve"> </v>
      </c>
      <c r="E36" s="460"/>
      <c r="F36" s="460"/>
      <c r="G36" s="460"/>
      <c r="H36" s="460"/>
      <c r="I36" s="453"/>
      <c r="J36" s="453"/>
      <c r="K36" s="456" t="str">
        <f t="shared" si="0"/>
        <v xml:space="preserve"> </v>
      </c>
      <c r="L36" s="456"/>
      <c r="M36" s="457"/>
    </row>
    <row r="37" spans="1:13" x14ac:dyDescent="0.3">
      <c r="A37" s="458"/>
      <c r="B37" s="458"/>
      <c r="C37" s="458"/>
      <c r="D37" s="459" t="str">
        <f>IFERROR(VLOOKUP(A37,NPS!A27:B838,2,FALSE)," ")</f>
        <v xml:space="preserve"> </v>
      </c>
      <c r="E37" s="459"/>
      <c r="F37" s="459"/>
      <c r="G37" s="459"/>
      <c r="H37" s="459"/>
      <c r="I37" s="458"/>
      <c r="J37" s="458"/>
      <c r="K37" s="454" t="str">
        <f t="shared" si="0"/>
        <v xml:space="preserve"> </v>
      </c>
      <c r="L37" s="454"/>
      <c r="M37" s="455"/>
    </row>
    <row r="38" spans="1:13" x14ac:dyDescent="0.3">
      <c r="A38" s="453"/>
      <c r="B38" s="453"/>
      <c r="C38" s="453"/>
      <c r="D38" s="460" t="str">
        <f>IFERROR(VLOOKUP(A38,NPS!A28:B839,2,FALSE)," ")</f>
        <v xml:space="preserve"> </v>
      </c>
      <c r="E38" s="460"/>
      <c r="F38" s="460"/>
      <c r="G38" s="460"/>
      <c r="H38" s="460"/>
      <c r="I38" s="453"/>
      <c r="J38" s="453"/>
      <c r="K38" s="456" t="str">
        <f t="shared" si="0"/>
        <v xml:space="preserve"> </v>
      </c>
      <c r="L38" s="456"/>
      <c r="M38" s="457"/>
    </row>
    <row r="39" spans="1:13" x14ac:dyDescent="0.3">
      <c r="A39" s="458"/>
      <c r="B39" s="458"/>
      <c r="C39" s="458"/>
      <c r="D39" s="459" t="str">
        <f>IFERROR(VLOOKUP(A39,NPS!A29:B840,2,FALSE)," ")</f>
        <v xml:space="preserve"> </v>
      </c>
      <c r="E39" s="459"/>
      <c r="F39" s="459"/>
      <c r="G39" s="459"/>
      <c r="H39" s="459"/>
      <c r="I39" s="458"/>
      <c r="J39" s="458"/>
      <c r="K39" s="454" t="str">
        <f t="shared" si="0"/>
        <v xml:space="preserve"> </v>
      </c>
      <c r="L39" s="454"/>
      <c r="M39" s="455"/>
    </row>
    <row r="40" spans="1:13" x14ac:dyDescent="0.3">
      <c r="A40" s="453"/>
      <c r="B40" s="453"/>
      <c r="C40" s="453"/>
      <c r="D40" s="460" t="str">
        <f>IFERROR(VLOOKUP(A40,NPS!A30:B841,2,FALSE)," ")</f>
        <v xml:space="preserve"> </v>
      </c>
      <c r="E40" s="460"/>
      <c r="F40" s="460"/>
      <c r="G40" s="460"/>
      <c r="H40" s="460"/>
      <c r="I40" s="453"/>
      <c r="J40" s="453"/>
      <c r="K40" s="456" t="str">
        <f t="shared" si="0"/>
        <v xml:space="preserve"> </v>
      </c>
      <c r="L40" s="456"/>
      <c r="M40" s="457"/>
    </row>
    <row r="41" spans="1:13" x14ac:dyDescent="0.3">
      <c r="A41" s="458"/>
      <c r="B41" s="458"/>
      <c r="C41" s="458"/>
      <c r="D41" s="459" t="str">
        <f>IFERROR(VLOOKUP(A41,NPS!A31:B842,2,FALSE)," ")</f>
        <v xml:space="preserve"> </v>
      </c>
      <c r="E41" s="459"/>
      <c r="F41" s="459"/>
      <c r="G41" s="459"/>
      <c r="H41" s="459"/>
      <c r="I41" s="458"/>
      <c r="J41" s="458"/>
      <c r="K41" s="454" t="str">
        <f t="shared" si="0"/>
        <v xml:space="preserve"> </v>
      </c>
      <c r="L41" s="454"/>
      <c r="M41" s="455"/>
    </row>
    <row r="42" spans="1:13" x14ac:dyDescent="0.3">
      <c r="A42" s="453"/>
      <c r="B42" s="453"/>
      <c r="C42" s="453"/>
      <c r="D42" s="460" t="str">
        <f>IFERROR(VLOOKUP(A42,NPS!A32:B843,2,FALSE)," ")</f>
        <v xml:space="preserve"> </v>
      </c>
      <c r="E42" s="460"/>
      <c r="F42" s="460"/>
      <c r="G42" s="460"/>
      <c r="H42" s="460"/>
      <c r="I42" s="453"/>
      <c r="J42" s="453"/>
      <c r="K42" s="456" t="str">
        <f t="shared" si="0"/>
        <v xml:space="preserve"> </v>
      </c>
      <c r="L42" s="456"/>
      <c r="M42" s="457"/>
    </row>
    <row r="43" spans="1:13" x14ac:dyDescent="0.3">
      <c r="A43" s="458"/>
      <c r="B43" s="458"/>
      <c r="C43" s="458"/>
      <c r="D43" s="459" t="str">
        <f>IFERROR(VLOOKUP(A43,NPS!A33:B844,2,FALSE)," ")</f>
        <v xml:space="preserve"> </v>
      </c>
      <c r="E43" s="459"/>
      <c r="F43" s="459"/>
      <c r="G43" s="459"/>
      <c r="H43" s="459"/>
      <c r="I43" s="458"/>
      <c r="J43" s="458"/>
      <c r="K43" s="454" t="str">
        <f t="shared" si="0"/>
        <v xml:space="preserve"> </v>
      </c>
      <c r="L43" s="454"/>
      <c r="M43" s="455"/>
    </row>
    <row r="44" spans="1:13" x14ac:dyDescent="0.3">
      <c r="A44" s="453"/>
      <c r="B44" s="453"/>
      <c r="C44" s="453"/>
      <c r="D44" s="460" t="str">
        <f>IFERROR(VLOOKUP(A44,NPS!A34:B845,2,FALSE)," ")</f>
        <v xml:space="preserve"> </v>
      </c>
      <c r="E44" s="460"/>
      <c r="F44" s="460"/>
      <c r="G44" s="460"/>
      <c r="H44" s="460"/>
      <c r="I44" s="453"/>
      <c r="J44" s="453"/>
      <c r="K44" s="456" t="str">
        <f t="shared" si="0"/>
        <v xml:space="preserve"> </v>
      </c>
      <c r="L44" s="456"/>
      <c r="M44" s="457"/>
    </row>
    <row r="45" spans="1:13" x14ac:dyDescent="0.3">
      <c r="A45" s="458"/>
      <c r="B45" s="458"/>
      <c r="C45" s="458"/>
      <c r="D45" s="459" t="str">
        <f>IFERROR(VLOOKUP(A45,NPS!A35:B846,2,FALSE)," ")</f>
        <v xml:space="preserve"> </v>
      </c>
      <c r="E45" s="459"/>
      <c r="F45" s="459"/>
      <c r="G45" s="459"/>
      <c r="H45" s="459"/>
      <c r="I45" s="458"/>
      <c r="J45" s="458"/>
      <c r="K45" s="454" t="str">
        <f t="shared" si="0"/>
        <v xml:space="preserve"> </v>
      </c>
      <c r="L45" s="454"/>
      <c r="M45" s="455"/>
    </row>
    <row r="46" spans="1:13" x14ac:dyDescent="0.3">
      <c r="A46" s="453"/>
      <c r="B46" s="453"/>
      <c r="C46" s="453"/>
      <c r="D46" s="460" t="str">
        <f>IFERROR(VLOOKUP(A46,NPS!A36:B847,2,FALSE)," ")</f>
        <v xml:space="preserve"> </v>
      </c>
      <c r="E46" s="460"/>
      <c r="F46" s="460"/>
      <c r="G46" s="460"/>
      <c r="H46" s="460"/>
      <c r="I46" s="453"/>
      <c r="J46" s="453"/>
      <c r="K46" s="456" t="str">
        <f t="shared" si="0"/>
        <v xml:space="preserve"> </v>
      </c>
      <c r="L46" s="456"/>
      <c r="M46" s="457"/>
    </row>
    <row r="47" spans="1:13" x14ac:dyDescent="0.3">
      <c r="A47" s="458"/>
      <c r="B47" s="458"/>
      <c r="C47" s="458"/>
      <c r="D47" s="459" t="str">
        <f>IFERROR(VLOOKUP(A47,NPS!A37:B848,2,FALSE)," ")</f>
        <v xml:space="preserve"> </v>
      </c>
      <c r="E47" s="459"/>
      <c r="F47" s="459"/>
      <c r="G47" s="459"/>
      <c r="H47" s="459"/>
      <c r="I47" s="458"/>
      <c r="J47" s="458"/>
      <c r="K47" s="454" t="str">
        <f t="shared" si="0"/>
        <v xml:space="preserve"> </v>
      </c>
      <c r="L47" s="454"/>
      <c r="M47" s="455"/>
    </row>
    <row r="48" spans="1:13" x14ac:dyDescent="0.3">
      <c r="A48" s="453"/>
      <c r="B48" s="453"/>
      <c r="C48" s="453"/>
      <c r="D48" s="460" t="str">
        <f>IFERROR(VLOOKUP(A48,NPS!A38:B849,2,FALSE)," ")</f>
        <v xml:space="preserve"> </v>
      </c>
      <c r="E48" s="460"/>
      <c r="F48" s="460"/>
      <c r="G48" s="460"/>
      <c r="H48" s="460"/>
      <c r="I48" s="453"/>
      <c r="J48" s="453"/>
      <c r="K48" s="456" t="str">
        <f t="shared" si="0"/>
        <v xml:space="preserve"> </v>
      </c>
      <c r="L48" s="456"/>
      <c r="M48" s="457"/>
    </row>
    <row r="49" spans="1:15" x14ac:dyDescent="0.3">
      <c r="A49" s="458"/>
      <c r="B49" s="458"/>
      <c r="C49" s="458"/>
      <c r="D49" s="459" t="str">
        <f>IFERROR(VLOOKUP(A49,NPS!A39:B850,2,FALSE)," ")</f>
        <v xml:space="preserve"> </v>
      </c>
      <c r="E49" s="459"/>
      <c r="F49" s="459"/>
      <c r="G49" s="459"/>
      <c r="H49" s="459"/>
      <c r="I49" s="458"/>
      <c r="J49" s="458"/>
      <c r="K49" s="454" t="str">
        <f t="shared" si="0"/>
        <v xml:space="preserve"> </v>
      </c>
      <c r="L49" s="454"/>
      <c r="M49" s="455"/>
    </row>
    <row r="50" spans="1:15" x14ac:dyDescent="0.3">
      <c r="A50" s="453"/>
      <c r="B50" s="453"/>
      <c r="C50" s="453"/>
      <c r="D50" s="460" t="str">
        <f>IFERROR(VLOOKUP(A50,NPS!A40:B851,2,FALSE)," ")</f>
        <v xml:space="preserve"> </v>
      </c>
      <c r="E50" s="460"/>
      <c r="F50" s="460"/>
      <c r="G50" s="460"/>
      <c r="H50" s="460"/>
      <c r="I50" s="453"/>
      <c r="J50" s="453"/>
      <c r="K50" s="456" t="str">
        <f t="shared" si="0"/>
        <v xml:space="preserve"> </v>
      </c>
      <c r="L50" s="456"/>
      <c r="M50" s="457"/>
    </row>
    <row r="51" spans="1:15" x14ac:dyDescent="0.3">
      <c r="A51" s="458"/>
      <c r="B51" s="458"/>
      <c r="C51" s="458"/>
      <c r="D51" s="459" t="str">
        <f>IFERROR(VLOOKUP(A51,NPS!A41:B852,2,FALSE)," ")</f>
        <v xml:space="preserve"> </v>
      </c>
      <c r="E51" s="459"/>
      <c r="F51" s="459"/>
      <c r="G51" s="459"/>
      <c r="H51" s="459"/>
      <c r="I51" s="458"/>
      <c r="J51" s="458"/>
      <c r="K51" s="454" t="str">
        <f t="shared" si="0"/>
        <v xml:space="preserve"> </v>
      </c>
      <c r="L51" s="454"/>
      <c r="M51" s="455"/>
    </row>
    <row r="52" spans="1:15" x14ac:dyDescent="0.3">
      <c r="A52" s="453"/>
      <c r="B52" s="453"/>
      <c r="C52" s="453"/>
      <c r="D52" s="460" t="str">
        <f>IFERROR(VLOOKUP(A52,NPS!A42:B853,2,FALSE)," ")</f>
        <v xml:space="preserve"> </v>
      </c>
      <c r="E52" s="460"/>
      <c r="F52" s="460"/>
      <c r="G52" s="460"/>
      <c r="H52" s="460"/>
      <c r="I52" s="453"/>
      <c r="J52" s="453"/>
      <c r="K52" s="456" t="str">
        <f t="shared" si="0"/>
        <v xml:space="preserve"> </v>
      </c>
      <c r="L52" s="456"/>
      <c r="M52" s="457"/>
    </row>
    <row r="53" spans="1:15" x14ac:dyDescent="0.3">
      <c r="A53" s="458"/>
      <c r="B53" s="458"/>
      <c r="C53" s="458"/>
      <c r="D53" s="459" t="str">
        <f>IFERROR(VLOOKUP(A53,NPS!A43:B854,2,FALSE)," ")</f>
        <v xml:space="preserve"> </v>
      </c>
      <c r="E53" s="459"/>
      <c r="F53" s="459"/>
      <c r="G53" s="459"/>
      <c r="H53" s="459"/>
      <c r="I53" s="458"/>
      <c r="J53" s="458"/>
      <c r="K53" s="454" t="str">
        <f t="shared" si="0"/>
        <v xml:space="preserve"> </v>
      </c>
      <c r="L53" s="454"/>
      <c r="M53" s="455"/>
    </row>
    <row r="54" spans="1:15" x14ac:dyDescent="0.3">
      <c r="A54" s="453"/>
      <c r="B54" s="453"/>
      <c r="C54" s="453"/>
      <c r="D54" s="460" t="str">
        <f>IFERROR(VLOOKUP(A54,NPS!A44:B855,2,FALSE)," ")</f>
        <v xml:space="preserve"> </v>
      </c>
      <c r="E54" s="460"/>
      <c r="F54" s="460"/>
      <c r="G54" s="460"/>
      <c r="H54" s="460"/>
      <c r="I54" s="453"/>
      <c r="J54" s="453"/>
      <c r="K54" s="456" t="str">
        <f t="shared" si="0"/>
        <v xml:space="preserve"> </v>
      </c>
      <c r="L54" s="456"/>
      <c r="M54" s="457"/>
    </row>
    <row r="55" spans="1:15" x14ac:dyDescent="0.3">
      <c r="A55" s="458"/>
      <c r="B55" s="458"/>
      <c r="C55" s="458"/>
      <c r="D55" s="459" t="str">
        <f>IFERROR(VLOOKUP(A55,NPS!A45:B856,2,FALSE)," ")</f>
        <v xml:space="preserve"> </v>
      </c>
      <c r="E55" s="459"/>
      <c r="F55" s="459"/>
      <c r="G55" s="459"/>
      <c r="H55" s="459"/>
      <c r="I55" s="458"/>
      <c r="J55" s="458"/>
      <c r="K55" s="454" t="str">
        <f t="shared" si="0"/>
        <v xml:space="preserve"> </v>
      </c>
      <c r="L55" s="454"/>
      <c r="M55" s="455"/>
    </row>
    <row r="56" spans="1:15" ht="15" thickBot="1" x14ac:dyDescent="0.35">
      <c r="A56" s="60"/>
      <c r="B56" s="30"/>
      <c r="C56" s="30"/>
      <c r="D56" s="30"/>
      <c r="E56" s="30"/>
      <c r="F56" s="30"/>
      <c r="G56" s="30"/>
      <c r="H56" s="30"/>
      <c r="I56" s="473">
        <f>SUM(I12:J55)</f>
        <v>0</v>
      </c>
      <c r="J56" s="474"/>
      <c r="K56" s="454" t="str">
        <f t="shared" si="0"/>
        <v xml:space="preserve"> </v>
      </c>
      <c r="L56" s="454"/>
      <c r="M56" s="455"/>
      <c r="O56" s="61"/>
    </row>
    <row r="57" spans="1:15" x14ac:dyDescent="0.3">
      <c r="A57" s="60"/>
      <c r="B57" s="30"/>
      <c r="C57" s="30"/>
      <c r="D57" s="30"/>
      <c r="E57" s="30"/>
      <c r="F57" s="30"/>
      <c r="G57" s="30"/>
      <c r="H57" s="30"/>
      <c r="I57" s="475" t="s">
        <v>108</v>
      </c>
      <c r="J57" s="475"/>
      <c r="K57" s="475" t="s">
        <v>109</v>
      </c>
      <c r="L57" s="475"/>
      <c r="M57" s="476"/>
    </row>
    <row r="58" spans="1:15" ht="15" thickBot="1" x14ac:dyDescent="0.35">
      <c r="A58" s="62"/>
      <c r="B58" s="63"/>
      <c r="C58" s="63"/>
      <c r="D58" s="63"/>
      <c r="E58" s="63"/>
      <c r="F58" s="63"/>
      <c r="G58" s="63"/>
      <c r="H58" s="63"/>
      <c r="I58" s="63"/>
      <c r="J58" s="63"/>
      <c r="K58" s="63"/>
      <c r="L58" s="63"/>
      <c r="M58" s="64"/>
    </row>
  </sheetData>
  <sheetProtection algorithmName="SHA-512" hashValue="qV40zp2DF8mhSXY+nBTqK1arXHhwngsIu32hGp2RmN4YVy4THBMm2aTFOwOEPuM0zw9DlZGg8z2OtfRWsJhpuQ==" saltValue="dmJei943lOvmI8HS9ZWavQ==" spinCount="100000" sheet="1" objects="1" selectLockedCells="1"/>
  <mergeCells count="197">
    <mergeCell ref="I56:J56"/>
    <mergeCell ref="K56:M56"/>
    <mergeCell ref="K57:M57"/>
    <mergeCell ref="I57:J57"/>
    <mergeCell ref="K55:M55"/>
    <mergeCell ref="I55:J55"/>
    <mergeCell ref="K43:M43"/>
    <mergeCell ref="K44:M44"/>
    <mergeCell ref="K50:M50"/>
    <mergeCell ref="K51:M51"/>
    <mergeCell ref="K52:M52"/>
    <mergeCell ref="K53:M53"/>
    <mergeCell ref="K49:M49"/>
    <mergeCell ref="K39:M39"/>
    <mergeCell ref="K17:M17"/>
    <mergeCell ref="K18:M18"/>
    <mergeCell ref="K19:M19"/>
    <mergeCell ref="K20:M20"/>
    <mergeCell ref="K21:M21"/>
    <mergeCell ref="K22:M22"/>
    <mergeCell ref="K54:M54"/>
    <mergeCell ref="I50:J50"/>
    <mergeCell ref="I51:J51"/>
    <mergeCell ref="I52:J52"/>
    <mergeCell ref="I53:J53"/>
    <mergeCell ref="I54:J54"/>
    <mergeCell ref="I24:J24"/>
    <mergeCell ref="I39:J39"/>
    <mergeCell ref="I40:J40"/>
    <mergeCell ref="I41:J41"/>
    <mergeCell ref="I42:J42"/>
    <mergeCell ref="I43:J43"/>
    <mergeCell ref="I49:J49"/>
    <mergeCell ref="I25:J25"/>
    <mergeCell ref="I26:J26"/>
    <mergeCell ref="I27:J27"/>
    <mergeCell ref="I28:J28"/>
    <mergeCell ref="D55:H55"/>
    <mergeCell ref="D54:H54"/>
    <mergeCell ref="D50:H50"/>
    <mergeCell ref="D51:H51"/>
    <mergeCell ref="A43:C43"/>
    <mergeCell ref="A18:C18"/>
    <mergeCell ref="A19:C19"/>
    <mergeCell ref="A20:C20"/>
    <mergeCell ref="A21:C21"/>
    <mergeCell ref="A22:C22"/>
    <mergeCell ref="A23:C23"/>
    <mergeCell ref="A53:C53"/>
    <mergeCell ref="A54:C54"/>
    <mergeCell ref="A24:C24"/>
    <mergeCell ref="A39:C39"/>
    <mergeCell ref="A40:C40"/>
    <mergeCell ref="A41:C41"/>
    <mergeCell ref="A42:C42"/>
    <mergeCell ref="D18:H18"/>
    <mergeCell ref="A55:C55"/>
    <mergeCell ref="D53:H53"/>
    <mergeCell ref="A34:C34"/>
    <mergeCell ref="A35:C35"/>
    <mergeCell ref="A36:C36"/>
    <mergeCell ref="D12:H12"/>
    <mergeCell ref="D13:H13"/>
    <mergeCell ref="D14:H14"/>
    <mergeCell ref="D15:H15"/>
    <mergeCell ref="D16:H16"/>
    <mergeCell ref="A44:C44"/>
    <mergeCell ref="A50:C50"/>
    <mergeCell ref="A51:C51"/>
    <mergeCell ref="A52:C52"/>
    <mergeCell ref="A12:C12"/>
    <mergeCell ref="A13:C13"/>
    <mergeCell ref="A14:C14"/>
    <mergeCell ref="A15:C15"/>
    <mergeCell ref="A16:C16"/>
    <mergeCell ref="D19:H19"/>
    <mergeCell ref="D20:H20"/>
    <mergeCell ref="D21:H21"/>
    <mergeCell ref="D23:H23"/>
    <mergeCell ref="D24:H24"/>
    <mergeCell ref="D39:H39"/>
    <mergeCell ref="D40:H40"/>
    <mergeCell ref="D41:H41"/>
    <mergeCell ref="D42:H42"/>
    <mergeCell ref="D52:H52"/>
    <mergeCell ref="C8:D8"/>
    <mergeCell ref="J5:L5"/>
    <mergeCell ref="J4:L4"/>
    <mergeCell ref="C7:D7"/>
    <mergeCell ref="F7:H7"/>
    <mergeCell ref="J7:L7"/>
    <mergeCell ref="K40:M40"/>
    <mergeCell ref="K41:M41"/>
    <mergeCell ref="K42:M42"/>
    <mergeCell ref="D22:H22"/>
    <mergeCell ref="I18:J18"/>
    <mergeCell ref="I19:J19"/>
    <mergeCell ref="I20:J20"/>
    <mergeCell ref="I21:J21"/>
    <mergeCell ref="I22:J22"/>
    <mergeCell ref="I23:J23"/>
    <mergeCell ref="I12:J12"/>
    <mergeCell ref="I13:J13"/>
    <mergeCell ref="I14:J14"/>
    <mergeCell ref="I15:J15"/>
    <mergeCell ref="I16:J16"/>
    <mergeCell ref="I17:J17"/>
    <mergeCell ref="K23:M23"/>
    <mergeCell ref="K24:M24"/>
    <mergeCell ref="K11:M11"/>
    <mergeCell ref="D17:H17"/>
    <mergeCell ref="K12:M12"/>
    <mergeCell ref="K13:M13"/>
    <mergeCell ref="K14:M14"/>
    <mergeCell ref="K15:M15"/>
    <mergeCell ref="K16:M16"/>
    <mergeCell ref="D49:H49"/>
    <mergeCell ref="A17:C17"/>
    <mergeCell ref="A49:C49"/>
    <mergeCell ref="D11:H11"/>
    <mergeCell ref="I11:J11"/>
    <mergeCell ref="D43:H43"/>
    <mergeCell ref="D44:H44"/>
    <mergeCell ref="I44:J44"/>
    <mergeCell ref="A25:C25"/>
    <mergeCell ref="A26:C26"/>
    <mergeCell ref="A27:C27"/>
    <mergeCell ref="A28:C28"/>
    <mergeCell ref="A29:C29"/>
    <mergeCell ref="A30:C30"/>
    <mergeCell ref="A31:C31"/>
    <mergeCell ref="A32:C32"/>
    <mergeCell ref="A33:C33"/>
    <mergeCell ref="A1:M1"/>
    <mergeCell ref="A2:M2"/>
    <mergeCell ref="C5:D5"/>
    <mergeCell ref="F5:I5"/>
    <mergeCell ref="C4:D4"/>
    <mergeCell ref="F4:H4"/>
    <mergeCell ref="J8:L8"/>
    <mergeCell ref="A48:C48"/>
    <mergeCell ref="D48:H48"/>
    <mergeCell ref="I48:J48"/>
    <mergeCell ref="K48:M48"/>
    <mergeCell ref="A45:C45"/>
    <mergeCell ref="D45:H45"/>
    <mergeCell ref="I45:J45"/>
    <mergeCell ref="K45:M45"/>
    <mergeCell ref="A46:C46"/>
    <mergeCell ref="D46:H46"/>
    <mergeCell ref="I46:J46"/>
    <mergeCell ref="K46:M46"/>
    <mergeCell ref="A47:C47"/>
    <mergeCell ref="D47:H47"/>
    <mergeCell ref="I47:J47"/>
    <mergeCell ref="K47:M47"/>
    <mergeCell ref="A11:C11"/>
    <mergeCell ref="A37:C37"/>
    <mergeCell ref="A38:C38"/>
    <mergeCell ref="D25:H25"/>
    <mergeCell ref="D26:H26"/>
    <mergeCell ref="D27:H27"/>
    <mergeCell ref="D28:H28"/>
    <mergeCell ref="D29:H29"/>
    <mergeCell ref="D30:H30"/>
    <mergeCell ref="D31:H31"/>
    <mergeCell ref="D32:H32"/>
    <mergeCell ref="D33:H33"/>
    <mergeCell ref="D34:H34"/>
    <mergeCell ref="D35:H35"/>
    <mergeCell ref="D36:H36"/>
    <mergeCell ref="D37:H37"/>
    <mergeCell ref="D38:H38"/>
    <mergeCell ref="I38:J38"/>
    <mergeCell ref="K25:M25"/>
    <mergeCell ref="K26:M26"/>
    <mergeCell ref="K27:M27"/>
    <mergeCell ref="K28:M28"/>
    <mergeCell ref="K29:M29"/>
    <mergeCell ref="K30:M30"/>
    <mergeCell ref="K31:M31"/>
    <mergeCell ref="K32:M32"/>
    <mergeCell ref="K33:M33"/>
    <mergeCell ref="K34:M34"/>
    <mergeCell ref="K35:M35"/>
    <mergeCell ref="K36:M36"/>
    <mergeCell ref="K37:M37"/>
    <mergeCell ref="K38:M38"/>
    <mergeCell ref="I29:J29"/>
    <mergeCell ref="I30:J30"/>
    <mergeCell ref="I31:J31"/>
    <mergeCell ref="I32:J32"/>
    <mergeCell ref="I33:J33"/>
    <mergeCell ref="I34:J34"/>
    <mergeCell ref="I35:J35"/>
    <mergeCell ref="I36:J36"/>
    <mergeCell ref="I37:J37"/>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5D68D-256D-412E-9BD4-187C791BC997}">
  <sheetPr codeName="Sheet16">
    <tabColor rgb="FF009999"/>
  </sheetPr>
  <dimension ref="A1:V53"/>
  <sheetViews>
    <sheetView showGridLines="0" zoomScaleNormal="100" workbookViewId="0">
      <selection activeCell="C6" sqref="C6:E6"/>
    </sheetView>
  </sheetViews>
  <sheetFormatPr defaultColWidth="8.88671875" defaultRowHeight="14.4" x14ac:dyDescent="0.3"/>
  <cols>
    <col min="1" max="1" width="8.88671875" style="14"/>
    <col min="2" max="2" width="11.44140625" style="14" customWidth="1"/>
    <col min="3" max="4" width="8.88671875" style="14"/>
    <col min="5" max="5" width="13.77734375" style="14" customWidth="1"/>
    <col min="6" max="13" width="8.88671875" style="14"/>
    <col min="14" max="14" width="4.44140625" style="14" customWidth="1"/>
    <col min="15" max="16384" width="8.88671875" style="14"/>
  </cols>
  <sheetData>
    <row r="1" spans="1:22" ht="29.4" customHeight="1" thickBot="1" x14ac:dyDescent="0.35">
      <c r="A1" s="743" t="s">
        <v>2063</v>
      </c>
      <c r="B1" s="743"/>
      <c r="C1" s="743"/>
      <c r="D1" s="743"/>
      <c r="E1" s="743"/>
      <c r="F1" s="743"/>
      <c r="G1" s="743"/>
      <c r="H1" s="743"/>
      <c r="I1" s="743"/>
      <c r="J1" s="743"/>
      <c r="K1" s="743"/>
      <c r="L1" s="743"/>
      <c r="M1" s="743"/>
      <c r="O1" s="424" t="s">
        <v>120</v>
      </c>
      <c r="P1" s="425"/>
      <c r="Q1" s="425"/>
      <c r="R1" s="425"/>
      <c r="S1" s="425"/>
      <c r="T1" s="425"/>
      <c r="U1" s="425"/>
      <c r="V1" s="426"/>
    </row>
    <row r="2" spans="1:22" x14ac:dyDescent="0.3">
      <c r="A2" s="435" t="s">
        <v>113</v>
      </c>
      <c r="B2" s="435"/>
      <c r="C2" s="435"/>
      <c r="D2" s="435"/>
      <c r="E2" s="435"/>
      <c r="F2" s="435"/>
      <c r="G2" s="435"/>
      <c r="H2" s="435"/>
      <c r="I2" s="435"/>
      <c r="J2" s="435"/>
      <c r="K2" s="435"/>
      <c r="L2" s="435"/>
      <c r="M2" s="435"/>
      <c r="O2" s="695" t="s">
        <v>2005</v>
      </c>
      <c r="P2" s="696"/>
      <c r="Q2" s="696"/>
      <c r="R2" s="696"/>
      <c r="S2" s="696"/>
      <c r="T2" s="696"/>
      <c r="U2" s="696"/>
      <c r="V2" s="697"/>
    </row>
    <row r="3" spans="1:22" s="38" customFormat="1" ht="6.6" customHeight="1" x14ac:dyDescent="0.3">
      <c r="A3" s="35"/>
      <c r="B3" s="36"/>
      <c r="C3" s="36"/>
      <c r="D3" s="36"/>
      <c r="E3" s="36"/>
      <c r="F3" s="36"/>
      <c r="G3" s="36"/>
      <c r="H3" s="36"/>
      <c r="I3" s="36"/>
      <c r="J3" s="36"/>
      <c r="K3" s="36"/>
      <c r="L3" s="36"/>
      <c r="M3" s="37"/>
      <c r="O3" s="698"/>
      <c r="P3" s="699"/>
      <c r="Q3" s="699"/>
      <c r="R3" s="699"/>
      <c r="S3" s="699"/>
      <c r="T3" s="699"/>
      <c r="U3" s="699"/>
      <c r="V3" s="700"/>
    </row>
    <row r="4" spans="1:22" x14ac:dyDescent="0.3">
      <c r="A4" s="448" t="s">
        <v>78</v>
      </c>
      <c r="B4" s="449"/>
      <c r="C4" s="705">
        <f>Overview!C4</f>
        <v>0</v>
      </c>
      <c r="D4" s="705"/>
      <c r="E4" s="705"/>
      <c r="F4" s="705"/>
      <c r="G4" s="705"/>
      <c r="H4" s="705"/>
      <c r="I4" s="705"/>
      <c r="J4" s="705"/>
      <c r="K4" s="705"/>
      <c r="L4" s="705"/>
      <c r="M4" s="706"/>
      <c r="O4" s="698"/>
      <c r="P4" s="699"/>
      <c r="Q4" s="699"/>
      <c r="R4" s="699"/>
      <c r="S4" s="699"/>
      <c r="T4" s="699"/>
      <c r="U4" s="699"/>
      <c r="V4" s="700"/>
    </row>
    <row r="5" spans="1:22" s="38" customFormat="1" ht="15.6" customHeight="1" x14ac:dyDescent="0.3">
      <c r="A5" s="35"/>
      <c r="B5" s="36"/>
      <c r="C5" s="707" t="s">
        <v>1979</v>
      </c>
      <c r="D5" s="707"/>
      <c r="E5" s="707"/>
      <c r="F5" s="707"/>
      <c r="G5" s="707"/>
      <c r="H5" s="707"/>
      <c r="I5" s="707"/>
      <c r="J5" s="707"/>
      <c r="K5" s="707"/>
      <c r="L5" s="707"/>
      <c r="M5" s="708"/>
      <c r="O5" s="701"/>
      <c r="P5" s="702"/>
      <c r="Q5" s="702"/>
      <c r="R5" s="702"/>
      <c r="S5" s="702"/>
      <c r="T5" s="702"/>
      <c r="U5" s="702"/>
      <c r="V5" s="703"/>
    </row>
    <row r="6" spans="1:22" s="38" customFormat="1" ht="15.6" customHeight="1" thickBot="1" x14ac:dyDescent="0.35">
      <c r="A6" s="393" t="s">
        <v>96</v>
      </c>
      <c r="B6" s="393"/>
      <c r="C6" s="691">
        <f>'Amend#1 Overview'!C6</f>
        <v>0</v>
      </c>
      <c r="D6" s="691"/>
      <c r="E6" s="691"/>
      <c r="F6" s="150" t="s">
        <v>98</v>
      </c>
      <c r="G6" s="692">
        <f>'Amend#1 Overview'!G6</f>
        <v>0</v>
      </c>
      <c r="H6" s="693"/>
      <c r="I6" s="693"/>
      <c r="J6" s="151" t="s">
        <v>119</v>
      </c>
      <c r="K6" s="691">
        <f>'Amend#1 Overview'!K6</f>
        <v>0</v>
      </c>
      <c r="L6" s="691"/>
      <c r="M6" s="694"/>
      <c r="O6" s="14"/>
      <c r="P6" s="14"/>
      <c r="Q6" s="14"/>
      <c r="R6" s="14"/>
      <c r="S6" s="14"/>
      <c r="T6" s="14"/>
      <c r="U6" s="14"/>
      <c r="V6" s="14"/>
    </row>
    <row r="7" spans="1:22" s="38" customFormat="1" ht="15.6" customHeight="1" thickBot="1" x14ac:dyDescent="0.35">
      <c r="A7" s="393" t="s">
        <v>97</v>
      </c>
      <c r="B7" s="393"/>
      <c r="C7" s="691">
        <f>'Amend#1 Overview'!C7</f>
        <v>0</v>
      </c>
      <c r="D7" s="691"/>
      <c r="E7" s="691"/>
      <c r="F7" s="150" t="s">
        <v>98</v>
      </c>
      <c r="G7" s="692">
        <f>'Amend#1 Overview'!G7</f>
        <v>0</v>
      </c>
      <c r="H7" s="693"/>
      <c r="I7" s="693"/>
      <c r="J7" s="151" t="s">
        <v>119</v>
      </c>
      <c r="K7" s="691">
        <f>'Amend#1 Overview'!K7</f>
        <v>0</v>
      </c>
      <c r="L7" s="691"/>
      <c r="M7" s="694"/>
      <c r="O7" s="409" t="s">
        <v>1983</v>
      </c>
      <c r="P7" s="410"/>
      <c r="Q7" s="410"/>
      <c r="R7" s="410"/>
      <c r="S7" s="410"/>
      <c r="T7" s="410"/>
      <c r="U7" s="410"/>
      <c r="V7" s="411"/>
    </row>
    <row r="8" spans="1:22" s="38" customFormat="1" ht="15.6" customHeight="1" thickBot="1" x14ac:dyDescent="0.35">
      <c r="A8" s="393" t="s">
        <v>118</v>
      </c>
      <c r="B8" s="393"/>
      <c r="C8" s="691">
        <f>'Amend#1 Overview'!C8</f>
        <v>0</v>
      </c>
      <c r="D8" s="691"/>
      <c r="E8" s="691"/>
      <c r="F8" s="150" t="s">
        <v>98</v>
      </c>
      <c r="G8" s="692">
        <f>'Amend#1 Overview'!G8</f>
        <v>0</v>
      </c>
      <c r="H8" s="693"/>
      <c r="I8" s="693"/>
      <c r="J8" s="151" t="s">
        <v>119</v>
      </c>
      <c r="K8" s="691">
        <f>'Amend#1 Overview'!K8</f>
        <v>0</v>
      </c>
      <c r="L8" s="691"/>
      <c r="M8" s="694"/>
      <c r="O8" s="412"/>
      <c r="P8" s="413"/>
      <c r="Q8" s="413"/>
      <c r="R8" s="413"/>
      <c r="S8" s="413"/>
      <c r="T8" s="413"/>
      <c r="U8" s="413"/>
      <c r="V8" s="414"/>
    </row>
    <row r="9" spans="1:22" ht="16.2" customHeight="1" thickBot="1" x14ac:dyDescent="0.35">
      <c r="A9" s="436" t="s">
        <v>30</v>
      </c>
      <c r="B9" s="437"/>
      <c r="C9" s="437"/>
      <c r="D9" s="437"/>
      <c r="E9" s="438"/>
      <c r="F9" s="438"/>
      <c r="G9" s="439" t="str">
        <f>Overview!G9</f>
        <v/>
      </c>
      <c r="H9" s="440"/>
      <c r="I9" s="440"/>
      <c r="J9" s="440"/>
      <c r="K9" s="440"/>
      <c r="L9" s="440"/>
      <c r="M9" s="441"/>
      <c r="O9" s="415" t="s">
        <v>2067</v>
      </c>
      <c r="P9" s="416"/>
      <c r="Q9" s="416"/>
      <c r="R9" s="416"/>
      <c r="S9" s="416"/>
      <c r="T9" s="416"/>
      <c r="U9" s="416"/>
      <c r="V9" s="417"/>
    </row>
    <row r="10" spans="1:22" ht="16.2" customHeight="1" thickBot="1" x14ac:dyDescent="0.35">
      <c r="A10" s="398" t="s">
        <v>1999</v>
      </c>
      <c r="B10" s="399"/>
      <c r="C10" s="399"/>
      <c r="D10" s="399"/>
      <c r="E10" s="399"/>
      <c r="F10" s="399"/>
      <c r="G10" s="405">
        <f>SUM(E19:E24)</f>
        <v>0</v>
      </c>
      <c r="H10" s="392"/>
      <c r="I10" s="391"/>
      <c r="J10" s="391"/>
      <c r="K10" s="391"/>
      <c r="L10" s="391"/>
      <c r="M10" s="392"/>
      <c r="O10" s="415"/>
      <c r="P10" s="416"/>
      <c r="Q10" s="416"/>
      <c r="R10" s="416"/>
      <c r="S10" s="416"/>
      <c r="T10" s="416"/>
      <c r="U10" s="416"/>
      <c r="V10" s="417"/>
    </row>
    <row r="11" spans="1:22" ht="16.2" customHeight="1" thickBot="1" x14ac:dyDescent="0.35">
      <c r="A11" s="227"/>
      <c r="B11" s="228"/>
      <c r="C11" s="228"/>
      <c r="D11" s="228"/>
      <c r="E11" s="228"/>
      <c r="F11" s="228" t="s">
        <v>2000</v>
      </c>
      <c r="G11" s="689">
        <f>IFERROR('Amend#1 Overview'!G11,"")</f>
        <v>0</v>
      </c>
      <c r="H11" s="690"/>
      <c r="I11" s="405" t="str">
        <f>IFERROR(ROUND(G13-Overview!G13,2),"")</f>
        <v/>
      </c>
      <c r="J11" s="391"/>
      <c r="K11" s="230"/>
      <c r="L11" s="230"/>
      <c r="M11" s="175" t="s">
        <v>2001</v>
      </c>
      <c r="O11" s="415"/>
      <c r="P11" s="416"/>
      <c r="Q11" s="416"/>
      <c r="R11" s="416"/>
      <c r="S11" s="416"/>
      <c r="T11" s="416"/>
      <c r="U11" s="416"/>
      <c r="V11" s="417"/>
    </row>
    <row r="12" spans="1:22" ht="16.2" customHeight="1" thickBot="1" x14ac:dyDescent="0.35">
      <c r="A12" s="227"/>
      <c r="B12" s="228"/>
      <c r="C12" s="228"/>
      <c r="D12" s="228"/>
      <c r="E12" s="228"/>
      <c r="F12" s="182" t="s">
        <v>2004</v>
      </c>
      <c r="G12" s="400" t="str">
        <f>IFERROR(ROUND(G9-G10+G11,2),"")</f>
        <v/>
      </c>
      <c r="H12" s="401"/>
      <c r="I12" s="405"/>
      <c r="J12" s="391"/>
      <c r="K12" s="391"/>
      <c r="L12" s="391"/>
      <c r="M12" s="392"/>
      <c r="O12" s="415"/>
      <c r="P12" s="416"/>
      <c r="Q12" s="416"/>
      <c r="R12" s="416"/>
      <c r="S12" s="416"/>
      <c r="T12" s="416"/>
      <c r="U12" s="416"/>
      <c r="V12" s="417"/>
    </row>
    <row r="13" spans="1:22" ht="16.2" customHeight="1" thickBot="1" x14ac:dyDescent="0.35">
      <c r="A13" s="398" t="s">
        <v>1988</v>
      </c>
      <c r="B13" s="399"/>
      <c r="C13" s="399"/>
      <c r="D13" s="399"/>
      <c r="E13" s="399"/>
      <c r="F13" s="399"/>
      <c r="G13" s="405" t="str">
        <f>'Amend#2 Equitable Share'!K56</f>
        <v xml:space="preserve"> </v>
      </c>
      <c r="H13" s="392"/>
      <c r="I13" s="391"/>
      <c r="J13" s="391"/>
      <c r="K13" s="391"/>
      <c r="L13" s="391"/>
      <c r="M13" s="392"/>
      <c r="O13" s="415"/>
      <c r="P13" s="416"/>
      <c r="Q13" s="416"/>
      <c r="R13" s="416"/>
      <c r="S13" s="416"/>
      <c r="T13" s="416"/>
      <c r="U13" s="416"/>
      <c r="V13" s="417"/>
    </row>
    <row r="14" spans="1:22" ht="16.2" customHeight="1" thickBot="1" x14ac:dyDescent="0.35">
      <c r="A14" s="421" t="s">
        <v>68</v>
      </c>
      <c r="B14" s="399"/>
      <c r="C14" s="399"/>
      <c r="D14" s="399"/>
      <c r="E14" s="399"/>
      <c r="F14" s="399"/>
      <c r="G14" s="403" t="str">
        <f>IFERROR(ROUND(G12-G13,2),"")</f>
        <v/>
      </c>
      <c r="H14" s="404"/>
      <c r="I14" s="403"/>
      <c r="J14" s="391"/>
      <c r="K14" s="391"/>
      <c r="L14" s="391"/>
      <c r="M14" s="392"/>
      <c r="O14" s="415"/>
      <c r="P14" s="416"/>
      <c r="Q14" s="416"/>
      <c r="R14" s="416"/>
      <c r="S14" s="416"/>
      <c r="T14" s="416"/>
      <c r="U14" s="416"/>
      <c r="V14" s="417"/>
    </row>
    <row r="15" spans="1:22" ht="19.2" customHeight="1" thickBot="1" x14ac:dyDescent="0.35">
      <c r="A15" s="421" t="s">
        <v>2002</v>
      </c>
      <c r="B15" s="399"/>
      <c r="C15" s="399"/>
      <c r="D15" s="399"/>
      <c r="E15" s="399"/>
      <c r="F15" s="399"/>
      <c r="G15" s="406">
        <f>'Amend#2 Main Budget'!M23</f>
        <v>0</v>
      </c>
      <c r="H15" s="407"/>
      <c r="I15" s="403" t="str">
        <f>IFERROR(ROUND((G12)*0.03,2),"")</f>
        <v/>
      </c>
      <c r="J15" s="404"/>
      <c r="K15" s="149" t="s">
        <v>401</v>
      </c>
      <c r="L15" s="25"/>
      <c r="M15" s="26"/>
      <c r="O15" s="415"/>
      <c r="P15" s="416"/>
      <c r="Q15" s="416"/>
      <c r="R15" s="416"/>
      <c r="S15" s="416"/>
      <c r="T15" s="416"/>
      <c r="U15" s="416"/>
      <c r="V15" s="417"/>
    </row>
    <row r="16" spans="1:22" ht="16.2" customHeight="1" thickBot="1" x14ac:dyDescent="0.35">
      <c r="A16" s="15"/>
      <c r="B16" s="688" t="str">
        <f>IFERROR('Amend#2 Main Budget'!H27," ")</f>
        <v/>
      </c>
      <c r="C16" s="688"/>
      <c r="D16" s="688"/>
      <c r="E16" s="16"/>
      <c r="F16" s="688" t="str">
        <f>IFERROR('Amend#2 Main Budget'!H28," ")</f>
        <v/>
      </c>
      <c r="G16" s="688"/>
      <c r="H16" s="688"/>
      <c r="I16" s="16"/>
      <c r="J16" s="688" t="str">
        <f>IFERROR('Amend#2 Main Budget'!H29,"")</f>
        <v/>
      </c>
      <c r="K16" s="688"/>
      <c r="L16" s="688"/>
      <c r="M16" s="17"/>
      <c r="O16" s="415"/>
      <c r="P16" s="416"/>
      <c r="Q16" s="416"/>
      <c r="R16" s="416"/>
      <c r="S16" s="416"/>
      <c r="T16" s="416"/>
      <c r="U16" s="416"/>
      <c r="V16" s="417"/>
    </row>
    <row r="17" spans="1:22" ht="16.2" customHeight="1" x14ac:dyDescent="0.3">
      <c r="A17" s="15"/>
      <c r="B17" s="408" t="s">
        <v>115</v>
      </c>
      <c r="C17" s="408"/>
      <c r="D17" s="408"/>
      <c r="E17" s="16"/>
      <c r="F17" s="408" t="s">
        <v>116</v>
      </c>
      <c r="G17" s="408"/>
      <c r="H17" s="408"/>
      <c r="I17" s="16"/>
      <c r="J17" s="408" t="s">
        <v>117</v>
      </c>
      <c r="K17" s="408"/>
      <c r="L17" s="408"/>
      <c r="M17" s="17"/>
      <c r="O17" s="415"/>
      <c r="P17" s="416"/>
      <c r="Q17" s="416"/>
      <c r="R17" s="416"/>
      <c r="S17" s="416"/>
      <c r="T17" s="416"/>
      <c r="U17" s="416"/>
      <c r="V17" s="417"/>
    </row>
    <row r="18" spans="1:22" ht="5.4" customHeight="1" x14ac:dyDescent="0.3">
      <c r="A18" s="15"/>
      <c r="B18" s="187"/>
      <c r="C18" s="187"/>
      <c r="D18" s="187"/>
      <c r="E18" s="16"/>
      <c r="F18" s="187"/>
      <c r="G18" s="187"/>
      <c r="H18" s="187"/>
      <c r="I18" s="16"/>
      <c r="J18" s="187"/>
      <c r="K18" s="187"/>
      <c r="L18" s="187"/>
      <c r="M18" s="17"/>
      <c r="O18" s="415"/>
      <c r="P18" s="416"/>
      <c r="Q18" s="416"/>
      <c r="R18" s="416"/>
      <c r="S18" s="416"/>
      <c r="T18" s="416"/>
      <c r="U18" s="416"/>
      <c r="V18" s="417"/>
    </row>
    <row r="19" spans="1:22" ht="16.2" customHeight="1" x14ac:dyDescent="0.3">
      <c r="A19" s="385" t="s">
        <v>1989</v>
      </c>
      <c r="B19" s="386"/>
      <c r="C19" s="386"/>
      <c r="D19" s="386"/>
      <c r="E19" s="195">
        <f>IFERROR('Amend#1 Overview'!E19,"")</f>
        <v>0</v>
      </c>
      <c r="F19" s="16"/>
      <c r="G19" s="16"/>
      <c r="H19" s="16"/>
      <c r="I19" s="16"/>
      <c r="J19" s="16"/>
      <c r="K19" s="16"/>
      <c r="L19" s="16"/>
      <c r="M19" s="17"/>
      <c r="O19" s="418"/>
      <c r="P19" s="419"/>
      <c r="Q19" s="419"/>
      <c r="R19" s="419"/>
      <c r="S19" s="419"/>
      <c r="T19" s="419"/>
      <c r="U19" s="419"/>
      <c r="V19" s="420"/>
    </row>
    <row r="20" spans="1:22" ht="16.2" customHeight="1" x14ac:dyDescent="0.3">
      <c r="A20" s="385" t="s">
        <v>1990</v>
      </c>
      <c r="B20" s="386"/>
      <c r="C20" s="386"/>
      <c r="D20" s="386"/>
      <c r="E20" s="195">
        <f>IFERROR('Amend#1 Overview'!E20,"")</f>
        <v>0</v>
      </c>
      <c r="F20" s="16"/>
      <c r="G20" s="16"/>
      <c r="H20" s="16"/>
      <c r="I20" s="16"/>
      <c r="J20" s="16"/>
      <c r="K20" s="16"/>
      <c r="L20" s="16"/>
      <c r="M20" s="17"/>
    </row>
    <row r="21" spans="1:22" ht="16.2" customHeight="1" x14ac:dyDescent="0.3">
      <c r="A21" s="385" t="s">
        <v>1991</v>
      </c>
      <c r="B21" s="386"/>
      <c r="C21" s="386"/>
      <c r="D21" s="386"/>
      <c r="E21" s="195">
        <f>IFERROR('Amend#1 Overview'!E21,"")</f>
        <v>0</v>
      </c>
      <c r="F21" s="16"/>
      <c r="G21" s="16"/>
      <c r="H21" s="16"/>
      <c r="I21" s="16"/>
      <c r="J21" s="16"/>
      <c r="K21" s="16"/>
      <c r="L21" s="16"/>
      <c r="M21" s="17"/>
    </row>
    <row r="22" spans="1:22" ht="16.2" customHeight="1" x14ac:dyDescent="0.3">
      <c r="A22" s="385" t="s">
        <v>1992</v>
      </c>
      <c r="B22" s="386"/>
      <c r="C22" s="386"/>
      <c r="D22" s="386"/>
      <c r="E22" s="195">
        <f>IFERROR('Amend#1 Overview'!E22,"")</f>
        <v>0</v>
      </c>
      <c r="F22" s="16"/>
      <c r="G22" s="16"/>
      <c r="H22" s="16"/>
      <c r="I22" s="16"/>
      <c r="J22" s="16"/>
      <c r="K22" s="16"/>
      <c r="L22" s="16"/>
      <c r="M22" s="17"/>
    </row>
    <row r="23" spans="1:22" ht="16.2" customHeight="1" x14ac:dyDescent="0.3">
      <c r="A23" s="385" t="s">
        <v>1993</v>
      </c>
      <c r="B23" s="386"/>
      <c r="C23" s="386"/>
      <c r="D23" s="386"/>
      <c r="E23" s="195">
        <f>IFERROR('Amend#1 Overview'!E23,"")</f>
        <v>0</v>
      </c>
      <c r="F23" s="16"/>
      <c r="G23" s="16"/>
      <c r="H23" s="16"/>
      <c r="I23" s="16"/>
      <c r="J23" s="16"/>
      <c r="K23" s="16"/>
      <c r="L23" s="16"/>
      <c r="M23" s="17"/>
    </row>
    <row r="24" spans="1:22" ht="16.2" customHeight="1" x14ac:dyDescent="0.3">
      <c r="A24" s="385" t="s">
        <v>1994</v>
      </c>
      <c r="B24" s="386"/>
      <c r="C24" s="386"/>
      <c r="D24" s="386"/>
      <c r="E24" s="195">
        <f>IFERROR('Amend#1 Overview'!E24,"")</f>
        <v>0</v>
      </c>
      <c r="F24" s="16"/>
      <c r="G24" s="16"/>
      <c r="H24" s="16"/>
      <c r="I24" s="16"/>
      <c r="J24" s="16"/>
      <c r="K24" s="16"/>
      <c r="L24" s="16"/>
      <c r="M24" s="17"/>
    </row>
    <row r="25" spans="1:22" ht="4.8" customHeight="1" x14ac:dyDescent="0.3">
      <c r="A25" s="388"/>
      <c r="B25" s="389"/>
      <c r="C25" s="389"/>
      <c r="D25" s="389"/>
      <c r="E25" s="389"/>
      <c r="F25" s="389"/>
      <c r="G25" s="389"/>
      <c r="H25" s="389"/>
      <c r="I25" s="389"/>
      <c r="J25" s="389"/>
      <c r="K25" s="389"/>
      <c r="L25" s="389"/>
      <c r="M25" s="390"/>
    </row>
    <row r="26" spans="1:22" x14ac:dyDescent="0.3">
      <c r="A26" s="387"/>
      <c r="B26" s="387"/>
      <c r="C26" s="387"/>
      <c r="D26" s="387"/>
      <c r="E26" s="387"/>
      <c r="F26" s="387"/>
      <c r="G26" s="387"/>
      <c r="H26" s="387"/>
      <c r="I26" s="387"/>
      <c r="J26" s="387"/>
      <c r="K26" s="387"/>
      <c r="L26" s="387"/>
      <c r="M26" s="387"/>
    </row>
    <row r="27" spans="1:22" ht="49.2" customHeight="1" x14ac:dyDescent="0.3">
      <c r="A27" s="39"/>
      <c r="B27" s="39"/>
      <c r="C27" s="39"/>
      <c r="D27" s="39"/>
      <c r="E27" s="39"/>
      <c r="F27" s="39"/>
      <c r="G27" s="39"/>
      <c r="H27" s="39"/>
      <c r="I27" s="39"/>
      <c r="J27" s="39"/>
      <c r="K27" s="39"/>
      <c r="L27" s="39"/>
      <c r="M27" s="39"/>
    </row>
    <row r="28" spans="1:22" x14ac:dyDescent="0.3">
      <c r="A28" s="40"/>
      <c r="B28" s="39"/>
      <c r="C28" s="39"/>
      <c r="D28" s="39"/>
      <c r="E28" s="39"/>
      <c r="F28" s="39"/>
      <c r="G28" s="39"/>
      <c r="H28" s="39"/>
      <c r="I28" s="39"/>
      <c r="J28" s="39"/>
      <c r="K28" s="39"/>
      <c r="L28" s="39"/>
      <c r="M28" s="39"/>
    </row>
    <row r="29" spans="1:22" x14ac:dyDescent="0.3">
      <c r="A29" s="383"/>
      <c r="B29" s="384"/>
      <c r="C29" s="384"/>
      <c r="D29" s="384"/>
      <c r="E29" s="384"/>
      <c r="F29" s="384"/>
      <c r="G29" s="384"/>
      <c r="H29" s="384"/>
      <c r="I29" s="384"/>
      <c r="J29" s="384"/>
      <c r="K29" s="384"/>
      <c r="L29" s="384"/>
      <c r="M29" s="384"/>
    </row>
    <row r="30" spans="1:22" x14ac:dyDescent="0.3">
      <c r="A30" s="39"/>
      <c r="B30" s="39"/>
      <c r="C30" s="39"/>
      <c r="D30" s="39"/>
      <c r="E30" s="39"/>
      <c r="F30" s="39"/>
      <c r="G30" s="39"/>
      <c r="H30" s="39"/>
      <c r="I30" s="39"/>
      <c r="J30" s="39"/>
      <c r="K30" s="39"/>
      <c r="L30" s="39"/>
      <c r="M30" s="39"/>
    </row>
    <row r="31" spans="1:22" x14ac:dyDescent="0.3">
      <c r="A31" s="39"/>
      <c r="B31" s="39"/>
      <c r="C31" s="39"/>
      <c r="D31" s="39"/>
      <c r="E31" s="39"/>
      <c r="F31" s="39"/>
      <c r="G31" s="39"/>
      <c r="H31" s="39"/>
      <c r="I31" s="39"/>
      <c r="J31" s="39"/>
      <c r="K31" s="39"/>
      <c r="L31" s="39"/>
      <c r="M31" s="39"/>
    </row>
    <row r="32" spans="1:22" x14ac:dyDescent="0.3">
      <c r="A32" s="39"/>
      <c r="B32" s="39"/>
      <c r="C32" s="39"/>
      <c r="D32" s="39"/>
      <c r="E32" s="39"/>
      <c r="F32" s="39"/>
      <c r="G32" s="39"/>
      <c r="H32" s="39"/>
      <c r="I32" s="39"/>
      <c r="J32" s="39"/>
      <c r="K32" s="39"/>
      <c r="L32" s="39"/>
      <c r="M32" s="39"/>
    </row>
    <row r="33" spans="1:13" x14ac:dyDescent="0.3">
      <c r="A33" s="39"/>
      <c r="B33" s="39"/>
      <c r="C33" s="39"/>
      <c r="D33" s="39"/>
      <c r="E33" s="39"/>
      <c r="F33" s="39"/>
      <c r="G33" s="39"/>
      <c r="H33" s="39"/>
      <c r="I33" s="39"/>
      <c r="J33" s="39"/>
      <c r="K33" s="39"/>
      <c r="L33" s="39"/>
      <c r="M33" s="39"/>
    </row>
    <row r="34" spans="1:13" x14ac:dyDescent="0.3">
      <c r="A34" s="39"/>
      <c r="B34" s="39"/>
      <c r="C34" s="39"/>
      <c r="D34" s="39"/>
      <c r="E34" s="39"/>
      <c r="F34" s="39"/>
      <c r="G34" s="39"/>
      <c r="H34" s="39"/>
      <c r="I34" s="39"/>
      <c r="J34" s="39"/>
      <c r="K34" s="39"/>
      <c r="L34" s="39"/>
      <c r="M34" s="39"/>
    </row>
    <row r="35" spans="1:13" x14ac:dyDescent="0.3">
      <c r="A35" s="39"/>
      <c r="B35" s="39"/>
      <c r="C35" s="39"/>
      <c r="D35" s="39"/>
      <c r="E35" s="39"/>
      <c r="F35" s="39"/>
      <c r="G35" s="39"/>
      <c r="H35" s="39"/>
      <c r="I35" s="39"/>
      <c r="J35" s="39"/>
      <c r="K35" s="39"/>
      <c r="L35" s="39"/>
      <c r="M35" s="39"/>
    </row>
    <row r="36" spans="1:13" x14ac:dyDescent="0.3">
      <c r="A36" s="39"/>
      <c r="B36" s="39"/>
      <c r="C36" s="39"/>
      <c r="D36" s="39"/>
      <c r="E36" s="39"/>
      <c r="F36" s="39"/>
      <c r="G36" s="39"/>
      <c r="H36" s="39"/>
      <c r="I36" s="39"/>
      <c r="J36" s="39"/>
      <c r="K36" s="39"/>
      <c r="L36" s="39"/>
      <c r="M36" s="39"/>
    </row>
    <row r="37" spans="1:13" x14ac:dyDescent="0.3">
      <c r="A37" s="39"/>
      <c r="B37" s="39"/>
      <c r="C37" s="39"/>
      <c r="D37" s="39"/>
      <c r="E37" s="39"/>
      <c r="F37" s="39"/>
      <c r="G37" s="39"/>
      <c r="H37" s="39"/>
      <c r="I37" s="39"/>
      <c r="J37" s="39"/>
      <c r="K37" s="39"/>
      <c r="L37" s="39"/>
      <c r="M37" s="39"/>
    </row>
    <row r="38" spans="1:13" x14ac:dyDescent="0.3">
      <c r="A38" s="39"/>
      <c r="B38" s="39"/>
      <c r="C38" s="39"/>
      <c r="D38" s="39"/>
      <c r="E38" s="39"/>
      <c r="F38" s="39"/>
      <c r="G38" s="39"/>
      <c r="H38" s="39"/>
      <c r="I38" s="39"/>
      <c r="J38" s="39"/>
      <c r="K38" s="39"/>
      <c r="L38" s="39"/>
      <c r="M38" s="39"/>
    </row>
    <row r="39" spans="1:13" x14ac:dyDescent="0.3">
      <c r="A39" s="39"/>
      <c r="B39" s="39"/>
      <c r="C39" s="39"/>
      <c r="D39" s="39"/>
      <c r="E39" s="39"/>
      <c r="F39" s="39"/>
      <c r="G39" s="39"/>
      <c r="H39" s="39"/>
      <c r="I39" s="39"/>
      <c r="J39" s="39"/>
      <c r="K39" s="39"/>
      <c r="L39" s="39"/>
      <c r="M39" s="39"/>
    </row>
    <row r="40" spans="1:13" x14ac:dyDescent="0.3">
      <c r="A40" s="39"/>
      <c r="B40" s="39"/>
      <c r="C40" s="39"/>
      <c r="D40" s="39"/>
      <c r="E40" s="39"/>
      <c r="F40" s="39"/>
      <c r="G40" s="39"/>
      <c r="H40" s="39"/>
      <c r="I40" s="39"/>
      <c r="J40" s="39"/>
      <c r="K40" s="39"/>
      <c r="L40" s="39"/>
      <c r="M40" s="39"/>
    </row>
    <row r="41" spans="1:13" x14ac:dyDescent="0.3">
      <c r="A41" s="39"/>
      <c r="B41" s="39"/>
      <c r="C41" s="39"/>
      <c r="D41" s="39"/>
      <c r="E41" s="39"/>
      <c r="F41" s="39"/>
      <c r="G41" s="39"/>
      <c r="H41" s="39"/>
      <c r="I41" s="39"/>
      <c r="J41" s="39"/>
      <c r="K41" s="39"/>
      <c r="L41" s="39"/>
      <c r="M41" s="39"/>
    </row>
    <row r="42" spans="1:13" x14ac:dyDescent="0.3">
      <c r="A42" s="39"/>
      <c r="B42" s="39"/>
      <c r="C42" s="39"/>
      <c r="D42" s="39"/>
      <c r="E42" s="39"/>
      <c r="F42" s="39"/>
      <c r="G42" s="39"/>
      <c r="H42" s="39"/>
      <c r="I42" s="39"/>
      <c r="J42" s="39"/>
      <c r="K42" s="39"/>
      <c r="L42" s="39"/>
      <c r="M42" s="39"/>
    </row>
    <row r="43" spans="1:13" x14ac:dyDescent="0.3">
      <c r="A43" s="39"/>
      <c r="B43" s="39"/>
      <c r="C43" s="39"/>
      <c r="D43" s="39"/>
      <c r="E43" s="39"/>
      <c r="F43" s="39"/>
      <c r="G43" s="39"/>
      <c r="H43" s="39"/>
      <c r="I43" s="39"/>
      <c r="J43" s="39"/>
      <c r="K43" s="39"/>
      <c r="L43" s="39"/>
      <c r="M43" s="39"/>
    </row>
    <row r="44" spans="1:13" x14ac:dyDescent="0.3">
      <c r="A44" s="39"/>
      <c r="B44" s="39"/>
      <c r="C44" s="39"/>
      <c r="D44" s="39"/>
      <c r="E44" s="39"/>
      <c r="F44" s="39"/>
      <c r="G44" s="39"/>
      <c r="H44" s="39"/>
      <c r="I44" s="39"/>
      <c r="J44" s="39"/>
      <c r="K44" s="39"/>
      <c r="L44" s="39"/>
      <c r="M44" s="39"/>
    </row>
    <row r="45" spans="1:13" x14ac:dyDescent="0.3">
      <c r="A45" s="39"/>
      <c r="B45" s="39"/>
      <c r="C45" s="39"/>
      <c r="D45" s="39"/>
      <c r="E45" s="39"/>
      <c r="F45" s="39"/>
      <c r="G45" s="39"/>
      <c r="H45" s="39"/>
      <c r="I45" s="39"/>
      <c r="J45" s="39"/>
      <c r="K45" s="39"/>
      <c r="L45" s="39"/>
      <c r="M45" s="39"/>
    </row>
    <row r="46" spans="1:13" x14ac:dyDescent="0.3">
      <c r="A46" s="39"/>
      <c r="B46" s="39"/>
      <c r="C46" s="39"/>
      <c r="D46" s="39"/>
      <c r="E46" s="39"/>
      <c r="F46" s="39"/>
      <c r="G46" s="39"/>
      <c r="H46" s="39"/>
      <c r="I46" s="39"/>
      <c r="J46" s="39"/>
      <c r="K46" s="39"/>
      <c r="L46" s="39"/>
      <c r="M46" s="39"/>
    </row>
    <row r="47" spans="1:13" x14ac:dyDescent="0.3">
      <c r="A47" s="39"/>
      <c r="B47" s="39"/>
      <c r="C47" s="39"/>
      <c r="D47" s="39"/>
      <c r="E47" s="39"/>
      <c r="F47" s="39"/>
      <c r="G47" s="39"/>
      <c r="H47" s="39"/>
      <c r="I47" s="39"/>
      <c r="J47" s="39"/>
      <c r="K47" s="39"/>
      <c r="L47" s="39"/>
      <c r="M47" s="39"/>
    </row>
    <row r="48" spans="1:13" x14ac:dyDescent="0.3">
      <c r="A48" s="39"/>
      <c r="B48" s="39"/>
      <c r="C48" s="39"/>
      <c r="D48" s="39"/>
      <c r="E48" s="39"/>
      <c r="F48" s="39"/>
      <c r="G48" s="39"/>
      <c r="H48" s="39"/>
      <c r="I48" s="39"/>
      <c r="J48" s="39"/>
      <c r="K48" s="39"/>
      <c r="L48" s="39"/>
      <c r="M48" s="39"/>
    </row>
    <row r="49" spans="1:13" x14ac:dyDescent="0.3">
      <c r="A49" s="39"/>
      <c r="B49" s="39"/>
      <c r="C49" s="39"/>
      <c r="D49" s="39"/>
      <c r="E49" s="39"/>
      <c r="F49" s="39"/>
      <c r="G49" s="39"/>
      <c r="H49" s="39"/>
      <c r="I49" s="39"/>
      <c r="J49" s="39"/>
      <c r="K49" s="39"/>
      <c r="L49" s="39"/>
      <c r="M49" s="39"/>
    </row>
    <row r="50" spans="1:13" x14ac:dyDescent="0.3">
      <c r="A50" s="39"/>
      <c r="B50" s="39"/>
      <c r="C50" s="39"/>
      <c r="D50" s="39"/>
      <c r="E50" s="39"/>
      <c r="F50" s="39"/>
      <c r="G50" s="39"/>
      <c r="H50" s="39"/>
      <c r="I50" s="39"/>
      <c r="J50" s="39"/>
      <c r="K50" s="39"/>
      <c r="L50" s="39"/>
      <c r="M50" s="39"/>
    </row>
    <row r="51" spans="1:13" x14ac:dyDescent="0.3">
      <c r="A51" s="39"/>
      <c r="B51" s="39"/>
      <c r="C51" s="39"/>
      <c r="D51" s="39"/>
      <c r="E51" s="39"/>
      <c r="F51" s="39"/>
      <c r="G51" s="39"/>
      <c r="H51" s="39"/>
      <c r="I51" s="39"/>
      <c r="J51" s="39"/>
      <c r="K51" s="39"/>
      <c r="L51" s="39"/>
      <c r="M51" s="39"/>
    </row>
    <row r="52" spans="1:13" x14ac:dyDescent="0.3">
      <c r="A52" s="39"/>
      <c r="B52" s="39"/>
      <c r="C52" s="39"/>
      <c r="D52" s="39"/>
      <c r="E52" s="39"/>
      <c r="F52" s="39"/>
      <c r="G52" s="39"/>
      <c r="H52" s="39"/>
      <c r="I52" s="39"/>
      <c r="J52" s="39"/>
      <c r="K52" s="39"/>
      <c r="L52" s="39"/>
      <c r="M52" s="39"/>
    </row>
    <row r="53" spans="1:13" x14ac:dyDescent="0.3">
      <c r="A53" s="39"/>
      <c r="B53" s="39"/>
      <c r="C53" s="39"/>
      <c r="D53" s="39"/>
      <c r="E53" s="39"/>
      <c r="F53" s="39"/>
      <c r="G53" s="39"/>
      <c r="H53" s="39"/>
      <c r="I53" s="39"/>
      <c r="J53" s="39"/>
      <c r="K53" s="39"/>
      <c r="L53" s="39"/>
      <c r="M53" s="39"/>
    </row>
  </sheetData>
  <sheetProtection algorithmName="SHA-512" hashValue="NfySaTlBgIlAW4QPLUSyJXLCj01oOODsobERY2ePmawkPg2GeodSHorJY8CkJmTBHQCZ3mMpcYSeYBsVxmz+Kw==" saltValue="bLxYwEDwf9+VqzYliP70VQ==" spinCount="100000" sheet="1" objects="1" scenarios="1" selectLockedCells="1"/>
  <protectedRanges>
    <protectedRange algorithmName="SHA-512" hashValue="lNcqq/b/lsnk95iB5XHq0PCRQDc9dvC4IFp0U4snaSUCM/moZUJf/mRHSIBefPWpvI8noEnjLM38ZtAzyO/BWg==" saltValue="a2+SEoRuu63mT/5dVMI08Q==" spinCount="100000" sqref="B16:L18" name="Focus Area"/>
    <protectedRange algorithmName="SHA-512" hashValue="ipynFNZn0pufBFEZADZeeAyGEi+JWV8nHAUrbiPJ9Y8g9QC+WWj4zRY2j6wWwZ/NtKTO0cVBUWW4uM5rZUCeOQ==" saltValue="1VZ+Zn1PkH6cBPffDs1L1w==" spinCount="100000" sqref="G14:M15" name="Total Allocation_1"/>
  </protectedRanges>
  <mergeCells count="54">
    <mergeCell ref="O1:V1"/>
    <mergeCell ref="O2:V5"/>
    <mergeCell ref="A7:B7"/>
    <mergeCell ref="C7:E7"/>
    <mergeCell ref="G7:I7"/>
    <mergeCell ref="K7:M7"/>
    <mergeCell ref="A1:M1"/>
    <mergeCell ref="A2:M2"/>
    <mergeCell ref="A4:B4"/>
    <mergeCell ref="C4:M4"/>
    <mergeCell ref="C5:M5"/>
    <mergeCell ref="A8:B8"/>
    <mergeCell ref="A10:F10"/>
    <mergeCell ref="G10:H10"/>
    <mergeCell ref="I10:M10"/>
    <mergeCell ref="A6:B6"/>
    <mergeCell ref="C6:E6"/>
    <mergeCell ref="G6:I6"/>
    <mergeCell ref="K6:M6"/>
    <mergeCell ref="C8:E8"/>
    <mergeCell ref="G8:I8"/>
    <mergeCell ref="K8:M8"/>
    <mergeCell ref="A9:F9"/>
    <mergeCell ref="G9:M9"/>
    <mergeCell ref="G11:H11"/>
    <mergeCell ref="I11:J11"/>
    <mergeCell ref="G12:H12"/>
    <mergeCell ref="I12:M12"/>
    <mergeCell ref="O7:V8"/>
    <mergeCell ref="O9:V19"/>
    <mergeCell ref="A13:F13"/>
    <mergeCell ref="G13:H13"/>
    <mergeCell ref="I13:M13"/>
    <mergeCell ref="A14:F14"/>
    <mergeCell ref="G14:H14"/>
    <mergeCell ref="I14:M14"/>
    <mergeCell ref="A15:F15"/>
    <mergeCell ref="G15:H15"/>
    <mergeCell ref="I15:J15"/>
    <mergeCell ref="B16:D16"/>
    <mergeCell ref="F16:H16"/>
    <mergeCell ref="J16:L16"/>
    <mergeCell ref="A29:M29"/>
    <mergeCell ref="B17:D17"/>
    <mergeCell ref="F17:H17"/>
    <mergeCell ref="J17:L17"/>
    <mergeCell ref="A19:D19"/>
    <mergeCell ref="A20:D20"/>
    <mergeCell ref="A21:D21"/>
    <mergeCell ref="A22:D22"/>
    <mergeCell ref="A23:D23"/>
    <mergeCell ref="A24:D24"/>
    <mergeCell ref="A25:M25"/>
    <mergeCell ref="A26:M26"/>
  </mergeCells>
  <conditionalFormatting sqref="B16:D16">
    <cfRule type="cellIs" dxfId="136" priority="11" operator="between">
      <formula>0.01</formula>
      <formula>1</formula>
    </cfRule>
  </conditionalFormatting>
  <conditionalFormatting sqref="F16:H16">
    <cfRule type="cellIs" dxfId="135" priority="10" operator="between">
      <formula>0.01</formula>
      <formula>1</formula>
    </cfRule>
  </conditionalFormatting>
  <conditionalFormatting sqref="J16:L16">
    <cfRule type="cellIs" dxfId="134" priority="8" operator="equal">
      <formula>1</formula>
    </cfRule>
  </conditionalFormatting>
  <conditionalFormatting sqref="G15:H15">
    <cfRule type="expression" dxfId="133" priority="1">
      <formula>$G$15&gt;$I$15</formula>
    </cfRule>
    <cfRule type="expression" dxfId="132" priority="2">
      <formula>$G$15=$I$15</formula>
    </cfRule>
    <cfRule type="expression" dxfId="131" priority="3">
      <formula>$G$15&lt;$I$15</formula>
    </cfRule>
  </conditionalFormatting>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4" id="{3EA55601-6792-4FE9-87CB-F2DE3FB576A5}">
            <xm:f>'Amend#2 Main Budget'!$M$23&lt;=G15</xm:f>
            <x14:dxf/>
          </x14:cfRule>
          <xm:sqref>M23</xm:sqref>
        </x14:conditionalFormatting>
      </x14:conditionalFormatting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3EC59-F86A-4804-A8D0-B836056EE0A1}">
  <sheetPr codeName="Sheet17">
    <tabColor rgb="FF009999"/>
  </sheetPr>
  <dimension ref="A1:O58"/>
  <sheetViews>
    <sheetView showGridLines="0" zoomScaleNormal="100" workbookViewId="0">
      <selection activeCell="J7" sqref="J7:L7"/>
    </sheetView>
  </sheetViews>
  <sheetFormatPr defaultColWidth="8.88671875" defaultRowHeight="14.4" x14ac:dyDescent="0.3"/>
  <cols>
    <col min="1" max="9" width="8.88671875" style="14"/>
    <col min="10" max="10" width="9.88671875" style="14" customWidth="1"/>
    <col min="11" max="14" width="8.88671875" style="14"/>
    <col min="15" max="15" width="3.109375" style="14" customWidth="1"/>
    <col min="16" max="16384" width="8.88671875" style="14"/>
  </cols>
  <sheetData>
    <row r="1" spans="1:13" ht="24" x14ac:dyDescent="0.3">
      <c r="A1" s="743" t="s">
        <v>133</v>
      </c>
      <c r="B1" s="743"/>
      <c r="C1" s="743"/>
      <c r="D1" s="743"/>
      <c r="E1" s="743"/>
      <c r="F1" s="743"/>
      <c r="G1" s="743"/>
      <c r="H1" s="743"/>
      <c r="I1" s="743"/>
      <c r="J1" s="743"/>
      <c r="K1" s="743"/>
      <c r="L1" s="743"/>
      <c r="M1" s="743"/>
    </row>
    <row r="2" spans="1:13" x14ac:dyDescent="0.3">
      <c r="A2" s="435" t="s">
        <v>100</v>
      </c>
      <c r="B2" s="435"/>
      <c r="C2" s="435"/>
      <c r="D2" s="435"/>
      <c r="E2" s="435"/>
      <c r="F2" s="435"/>
      <c r="G2" s="435"/>
      <c r="H2" s="435"/>
      <c r="I2" s="435"/>
      <c r="J2" s="435"/>
      <c r="K2" s="435"/>
      <c r="L2" s="435"/>
      <c r="M2" s="435"/>
    </row>
    <row r="3" spans="1:13" x14ac:dyDescent="0.3">
      <c r="A3" s="196"/>
      <c r="B3" s="189"/>
      <c r="C3" s="189"/>
      <c r="D3" s="189"/>
      <c r="E3" s="189"/>
      <c r="F3" s="189"/>
      <c r="G3" s="189"/>
      <c r="H3" s="189"/>
      <c r="I3" s="189"/>
      <c r="J3" s="189"/>
      <c r="K3" s="189"/>
      <c r="L3" s="189"/>
      <c r="M3" s="197"/>
    </row>
    <row r="4" spans="1:13" ht="15" thickBot="1" x14ac:dyDescent="0.35">
      <c r="A4" s="198"/>
      <c r="B4" s="30"/>
      <c r="C4" s="724">
        <f>'Equitable Share'!C4</f>
        <v>0</v>
      </c>
      <c r="D4" s="724"/>
      <c r="E4" s="199" t="s">
        <v>102</v>
      </c>
      <c r="F4" s="464">
        <f>I56</f>
        <v>0</v>
      </c>
      <c r="G4" s="464"/>
      <c r="H4" s="464"/>
      <c r="I4" s="199" t="s">
        <v>104</v>
      </c>
      <c r="J4" s="470">
        <f>C4+F4</f>
        <v>0</v>
      </c>
      <c r="K4" s="470"/>
      <c r="L4" s="470"/>
      <c r="M4" s="200"/>
    </row>
    <row r="5" spans="1:13" x14ac:dyDescent="0.3">
      <c r="A5" s="198"/>
      <c r="B5" s="30"/>
      <c r="C5" s="462" t="s">
        <v>99</v>
      </c>
      <c r="D5" s="462"/>
      <c r="E5" s="30"/>
      <c r="F5" s="462" t="s">
        <v>103</v>
      </c>
      <c r="G5" s="462"/>
      <c r="H5" s="462"/>
      <c r="I5" s="462"/>
      <c r="J5" s="469" t="s">
        <v>101</v>
      </c>
      <c r="K5" s="469"/>
      <c r="L5" s="469"/>
      <c r="M5" s="200"/>
    </row>
    <row r="6" spans="1:13" ht="9.6" customHeight="1" x14ac:dyDescent="0.3">
      <c r="A6" s="198"/>
      <c r="B6" s="30"/>
      <c r="C6" s="188"/>
      <c r="D6" s="188"/>
      <c r="E6" s="30"/>
      <c r="F6" s="188"/>
      <c r="G6" s="188"/>
      <c r="H6" s="188"/>
      <c r="I6" s="188"/>
      <c r="J6" s="30"/>
      <c r="K6" s="30"/>
      <c r="L6" s="30"/>
      <c r="M6" s="200"/>
    </row>
    <row r="7" spans="1:13" ht="15" thickBot="1" x14ac:dyDescent="0.35">
      <c r="A7" s="198"/>
      <c r="B7" s="30"/>
      <c r="C7" s="471" t="str">
        <f>IFERROR('Amend#2 Overview'!G12," ")</f>
        <v/>
      </c>
      <c r="D7" s="464"/>
      <c r="E7" s="199" t="s">
        <v>111</v>
      </c>
      <c r="F7" s="472">
        <f>J4</f>
        <v>0</v>
      </c>
      <c r="G7" s="464"/>
      <c r="H7" s="464"/>
      <c r="I7" s="199" t="s">
        <v>104</v>
      </c>
      <c r="J7" s="802" t="str">
        <f>IFERROR((C7/F7),"")</f>
        <v/>
      </c>
      <c r="K7" s="802"/>
      <c r="L7" s="802"/>
      <c r="M7" s="200"/>
    </row>
    <row r="8" spans="1:13" x14ac:dyDescent="0.3">
      <c r="A8" s="198"/>
      <c r="B8" s="30"/>
      <c r="C8" s="462" t="s">
        <v>178</v>
      </c>
      <c r="D8" s="462"/>
      <c r="E8" s="30"/>
      <c r="F8" s="30" t="s">
        <v>101</v>
      </c>
      <c r="G8" s="30"/>
      <c r="H8" s="30"/>
      <c r="I8" s="30"/>
      <c r="J8" s="465" t="s">
        <v>105</v>
      </c>
      <c r="K8" s="465"/>
      <c r="L8" s="465"/>
      <c r="M8" s="200"/>
    </row>
    <row r="9" spans="1:13" ht="9.6" customHeight="1" x14ac:dyDescent="0.3">
      <c r="A9" s="198"/>
      <c r="B9" s="30"/>
      <c r="C9" s="30"/>
      <c r="D9" s="30"/>
      <c r="E9" s="30"/>
      <c r="F9" s="30"/>
      <c r="G9" s="30"/>
      <c r="H9" s="30"/>
      <c r="I9" s="30"/>
      <c r="J9" s="30"/>
      <c r="K9" s="30"/>
      <c r="L9" s="30"/>
      <c r="M9" s="200"/>
    </row>
    <row r="10" spans="1:13" x14ac:dyDescent="0.3">
      <c r="A10" s="201"/>
      <c r="B10" s="202"/>
      <c r="C10" s="202"/>
      <c r="D10" s="202"/>
      <c r="E10" s="202"/>
      <c r="F10" s="202"/>
      <c r="G10" s="202"/>
      <c r="H10" s="202"/>
      <c r="I10" s="202"/>
      <c r="J10" s="202"/>
      <c r="K10" s="202"/>
      <c r="L10" s="202"/>
      <c r="M10" s="203"/>
    </row>
    <row r="11" spans="1:13" s="59" customFormat="1" ht="43.2" customHeight="1" x14ac:dyDescent="0.3">
      <c r="A11" s="466" t="s">
        <v>106</v>
      </c>
      <c r="B11" s="467"/>
      <c r="C11" s="467"/>
      <c r="D11" s="467" t="s">
        <v>107</v>
      </c>
      <c r="E11" s="467"/>
      <c r="F11" s="467"/>
      <c r="G11" s="467"/>
      <c r="H11" s="467"/>
      <c r="I11" s="467" t="s">
        <v>2032</v>
      </c>
      <c r="J11" s="467"/>
      <c r="K11" s="467" t="s">
        <v>110</v>
      </c>
      <c r="L11" s="467"/>
      <c r="M11" s="468"/>
    </row>
    <row r="12" spans="1:13" x14ac:dyDescent="0.3">
      <c r="A12" s="711">
        <f>'Equitable Share'!$A12</f>
        <v>0</v>
      </c>
      <c r="B12" s="711"/>
      <c r="C12" s="711"/>
      <c r="D12" s="460" t="str">
        <f>'Equitable Share'!D12</f>
        <v xml:space="preserve"> </v>
      </c>
      <c r="E12" s="460"/>
      <c r="F12" s="460"/>
      <c r="G12" s="460"/>
      <c r="H12" s="460"/>
      <c r="I12" s="712">
        <f>'Equitable Share'!I12</f>
        <v>0</v>
      </c>
      <c r="J12" s="712"/>
      <c r="K12" s="713" t="str">
        <f>IFERROR(I12*$J$7," ")</f>
        <v xml:space="preserve"> </v>
      </c>
      <c r="L12" s="714"/>
      <c r="M12" s="715"/>
    </row>
    <row r="13" spans="1:13" x14ac:dyDescent="0.3">
      <c r="A13" s="744">
        <f>'Equitable Share'!$A13</f>
        <v>0</v>
      </c>
      <c r="B13" s="744"/>
      <c r="C13" s="744"/>
      <c r="D13" s="459" t="str">
        <f>'Equitable Share'!D13</f>
        <v xml:space="preserve"> </v>
      </c>
      <c r="E13" s="459"/>
      <c r="F13" s="459"/>
      <c r="G13" s="459"/>
      <c r="H13" s="459"/>
      <c r="I13" s="719">
        <f>'Equitable Share'!I13</f>
        <v>0</v>
      </c>
      <c r="J13" s="719"/>
      <c r="K13" s="720" t="str">
        <f t="shared" ref="K13:K56" si="0">IFERROR(I13*$J$7," ")</f>
        <v xml:space="preserve"> </v>
      </c>
      <c r="L13" s="721"/>
      <c r="M13" s="722"/>
    </row>
    <row r="14" spans="1:13" x14ac:dyDescent="0.3">
      <c r="A14" s="711">
        <f>'Equitable Share'!$A14</f>
        <v>0</v>
      </c>
      <c r="B14" s="711"/>
      <c r="C14" s="711"/>
      <c r="D14" s="460" t="str">
        <f>'Equitable Share'!D14</f>
        <v xml:space="preserve"> </v>
      </c>
      <c r="E14" s="460"/>
      <c r="F14" s="460"/>
      <c r="G14" s="460"/>
      <c r="H14" s="460"/>
      <c r="I14" s="712">
        <f>'Equitable Share'!I14</f>
        <v>0</v>
      </c>
      <c r="J14" s="712"/>
      <c r="K14" s="713" t="str">
        <f t="shared" si="0"/>
        <v xml:space="preserve"> </v>
      </c>
      <c r="L14" s="714"/>
      <c r="M14" s="715"/>
    </row>
    <row r="15" spans="1:13" x14ac:dyDescent="0.3">
      <c r="A15" s="744">
        <f>'Equitable Share'!$A15</f>
        <v>0</v>
      </c>
      <c r="B15" s="744"/>
      <c r="C15" s="744"/>
      <c r="D15" s="459" t="str">
        <f>'Equitable Share'!D15</f>
        <v xml:space="preserve"> </v>
      </c>
      <c r="E15" s="459"/>
      <c r="F15" s="459"/>
      <c r="G15" s="459"/>
      <c r="H15" s="459"/>
      <c r="I15" s="719">
        <f>'Equitable Share'!I15</f>
        <v>0</v>
      </c>
      <c r="J15" s="719"/>
      <c r="K15" s="720" t="str">
        <f t="shared" si="0"/>
        <v xml:space="preserve"> </v>
      </c>
      <c r="L15" s="721"/>
      <c r="M15" s="722"/>
    </row>
    <row r="16" spans="1:13" x14ac:dyDescent="0.3">
      <c r="A16" s="711">
        <f>'Equitable Share'!$A16</f>
        <v>0</v>
      </c>
      <c r="B16" s="711"/>
      <c r="C16" s="711"/>
      <c r="D16" s="460" t="str">
        <f>'Equitable Share'!D16</f>
        <v xml:space="preserve"> </v>
      </c>
      <c r="E16" s="460"/>
      <c r="F16" s="460"/>
      <c r="G16" s="460"/>
      <c r="H16" s="460"/>
      <c r="I16" s="712">
        <f>'Equitable Share'!I16</f>
        <v>0</v>
      </c>
      <c r="J16" s="712"/>
      <c r="K16" s="713" t="str">
        <f t="shared" si="0"/>
        <v xml:space="preserve"> </v>
      </c>
      <c r="L16" s="714"/>
      <c r="M16" s="715"/>
    </row>
    <row r="17" spans="1:13" x14ac:dyDescent="0.3">
      <c r="A17" s="744">
        <f>'Equitable Share'!$A17</f>
        <v>0</v>
      </c>
      <c r="B17" s="744"/>
      <c r="C17" s="744"/>
      <c r="D17" s="459" t="str">
        <f>'Equitable Share'!D17</f>
        <v xml:space="preserve"> </v>
      </c>
      <c r="E17" s="459"/>
      <c r="F17" s="459"/>
      <c r="G17" s="459"/>
      <c r="H17" s="459"/>
      <c r="I17" s="719">
        <f>'Equitable Share'!I17</f>
        <v>0</v>
      </c>
      <c r="J17" s="719"/>
      <c r="K17" s="720" t="str">
        <f t="shared" si="0"/>
        <v xml:space="preserve"> </v>
      </c>
      <c r="L17" s="721"/>
      <c r="M17" s="722"/>
    </row>
    <row r="18" spans="1:13" x14ac:dyDescent="0.3">
      <c r="A18" s="711">
        <f>'Equitable Share'!$A18</f>
        <v>0</v>
      </c>
      <c r="B18" s="711"/>
      <c r="C18" s="711"/>
      <c r="D18" s="460" t="str">
        <f>'Equitable Share'!D18</f>
        <v xml:space="preserve"> </v>
      </c>
      <c r="E18" s="460"/>
      <c r="F18" s="460"/>
      <c r="G18" s="460"/>
      <c r="H18" s="460"/>
      <c r="I18" s="712">
        <f>'Equitable Share'!I18</f>
        <v>0</v>
      </c>
      <c r="J18" s="712"/>
      <c r="K18" s="713" t="str">
        <f t="shared" si="0"/>
        <v xml:space="preserve"> </v>
      </c>
      <c r="L18" s="714"/>
      <c r="M18" s="715"/>
    </row>
    <row r="19" spans="1:13" x14ac:dyDescent="0.3">
      <c r="A19" s="744">
        <f>'Equitable Share'!$A19</f>
        <v>0</v>
      </c>
      <c r="B19" s="744"/>
      <c r="C19" s="744"/>
      <c r="D19" s="459" t="str">
        <f>'Equitable Share'!D19</f>
        <v xml:space="preserve"> </v>
      </c>
      <c r="E19" s="459"/>
      <c r="F19" s="459"/>
      <c r="G19" s="459"/>
      <c r="H19" s="459"/>
      <c r="I19" s="719">
        <f>'Equitable Share'!I19</f>
        <v>0</v>
      </c>
      <c r="J19" s="719"/>
      <c r="K19" s="720" t="str">
        <f t="shared" si="0"/>
        <v xml:space="preserve"> </v>
      </c>
      <c r="L19" s="721"/>
      <c r="M19" s="722"/>
    </row>
    <row r="20" spans="1:13" x14ac:dyDescent="0.3">
      <c r="A20" s="711">
        <f>'Equitable Share'!$A20</f>
        <v>0</v>
      </c>
      <c r="B20" s="711"/>
      <c r="C20" s="711"/>
      <c r="D20" s="460" t="str">
        <f>'Equitable Share'!D20</f>
        <v xml:space="preserve"> </v>
      </c>
      <c r="E20" s="460"/>
      <c r="F20" s="460"/>
      <c r="G20" s="460"/>
      <c r="H20" s="460"/>
      <c r="I20" s="712">
        <f>'Equitable Share'!I20</f>
        <v>0</v>
      </c>
      <c r="J20" s="712"/>
      <c r="K20" s="713" t="str">
        <f t="shared" si="0"/>
        <v xml:space="preserve"> </v>
      </c>
      <c r="L20" s="714"/>
      <c r="M20" s="715"/>
    </row>
    <row r="21" spans="1:13" x14ac:dyDescent="0.3">
      <c r="A21" s="744">
        <f>'Equitable Share'!$A21</f>
        <v>0</v>
      </c>
      <c r="B21" s="744"/>
      <c r="C21" s="744"/>
      <c r="D21" s="459" t="str">
        <f>'Equitable Share'!D21</f>
        <v xml:space="preserve"> </v>
      </c>
      <c r="E21" s="459"/>
      <c r="F21" s="459"/>
      <c r="G21" s="459"/>
      <c r="H21" s="459"/>
      <c r="I21" s="719">
        <f>'Equitable Share'!I21</f>
        <v>0</v>
      </c>
      <c r="J21" s="719"/>
      <c r="K21" s="720" t="str">
        <f t="shared" si="0"/>
        <v xml:space="preserve"> </v>
      </c>
      <c r="L21" s="721"/>
      <c r="M21" s="722"/>
    </row>
    <row r="22" spans="1:13" x14ac:dyDescent="0.3">
      <c r="A22" s="711">
        <f>'Equitable Share'!$A22</f>
        <v>0</v>
      </c>
      <c r="B22" s="711"/>
      <c r="C22" s="711"/>
      <c r="D22" s="460" t="str">
        <f>'Equitable Share'!D22</f>
        <v xml:space="preserve"> </v>
      </c>
      <c r="E22" s="460"/>
      <c r="F22" s="460"/>
      <c r="G22" s="460"/>
      <c r="H22" s="460"/>
      <c r="I22" s="712">
        <f>'Equitable Share'!I22</f>
        <v>0</v>
      </c>
      <c r="J22" s="712"/>
      <c r="K22" s="713" t="str">
        <f t="shared" si="0"/>
        <v xml:space="preserve"> </v>
      </c>
      <c r="L22" s="714"/>
      <c r="M22" s="715"/>
    </row>
    <row r="23" spans="1:13" x14ac:dyDescent="0.3">
      <c r="A23" s="744">
        <f>'Equitable Share'!$A23</f>
        <v>0</v>
      </c>
      <c r="B23" s="744"/>
      <c r="C23" s="744"/>
      <c r="D23" s="459" t="str">
        <f>'Equitable Share'!D23</f>
        <v xml:space="preserve"> </v>
      </c>
      <c r="E23" s="459"/>
      <c r="F23" s="459"/>
      <c r="G23" s="459"/>
      <c r="H23" s="459"/>
      <c r="I23" s="719">
        <f>'Equitable Share'!I23</f>
        <v>0</v>
      </c>
      <c r="J23" s="719"/>
      <c r="K23" s="720" t="str">
        <f t="shared" si="0"/>
        <v xml:space="preserve"> </v>
      </c>
      <c r="L23" s="721"/>
      <c r="M23" s="722"/>
    </row>
    <row r="24" spans="1:13" x14ac:dyDescent="0.3">
      <c r="A24" s="711">
        <f>'Equitable Share'!$A24</f>
        <v>0</v>
      </c>
      <c r="B24" s="711"/>
      <c r="C24" s="711"/>
      <c r="D24" s="460" t="str">
        <f>'Equitable Share'!D24</f>
        <v xml:space="preserve"> </v>
      </c>
      <c r="E24" s="460"/>
      <c r="F24" s="460"/>
      <c r="G24" s="460"/>
      <c r="H24" s="460"/>
      <c r="I24" s="712">
        <f>'Equitable Share'!I24</f>
        <v>0</v>
      </c>
      <c r="J24" s="712"/>
      <c r="K24" s="713" t="str">
        <f t="shared" si="0"/>
        <v xml:space="preserve"> </v>
      </c>
      <c r="L24" s="714"/>
      <c r="M24" s="715"/>
    </row>
    <row r="25" spans="1:13" x14ac:dyDescent="0.3">
      <c r="A25" s="744">
        <f>'Equitable Share'!$A25</f>
        <v>0</v>
      </c>
      <c r="B25" s="744"/>
      <c r="C25" s="744"/>
      <c r="D25" s="459" t="str">
        <f>'Equitable Share'!D25</f>
        <v xml:space="preserve"> </v>
      </c>
      <c r="E25" s="459"/>
      <c r="F25" s="459"/>
      <c r="G25" s="459"/>
      <c r="H25" s="459"/>
      <c r="I25" s="719">
        <f>'Equitable Share'!I25</f>
        <v>0</v>
      </c>
      <c r="J25" s="719"/>
      <c r="K25" s="720" t="str">
        <f t="shared" si="0"/>
        <v xml:space="preserve"> </v>
      </c>
      <c r="L25" s="721"/>
      <c r="M25" s="722"/>
    </row>
    <row r="26" spans="1:13" x14ac:dyDescent="0.3">
      <c r="A26" s="711">
        <f>'Equitable Share'!$A26</f>
        <v>0</v>
      </c>
      <c r="B26" s="711"/>
      <c r="C26" s="711"/>
      <c r="D26" s="460" t="str">
        <f>'Equitable Share'!D26</f>
        <v xml:space="preserve"> </v>
      </c>
      <c r="E26" s="460"/>
      <c r="F26" s="460"/>
      <c r="G26" s="460"/>
      <c r="H26" s="460"/>
      <c r="I26" s="712">
        <f>'Equitable Share'!I26</f>
        <v>0</v>
      </c>
      <c r="J26" s="712"/>
      <c r="K26" s="713" t="str">
        <f t="shared" si="0"/>
        <v xml:space="preserve"> </v>
      </c>
      <c r="L26" s="714"/>
      <c r="M26" s="715"/>
    </row>
    <row r="27" spans="1:13" x14ac:dyDescent="0.3">
      <c r="A27" s="744">
        <f>'Equitable Share'!$A27</f>
        <v>0</v>
      </c>
      <c r="B27" s="744"/>
      <c r="C27" s="744"/>
      <c r="D27" s="459" t="str">
        <f>'Equitable Share'!D27</f>
        <v xml:space="preserve"> </v>
      </c>
      <c r="E27" s="459"/>
      <c r="F27" s="459"/>
      <c r="G27" s="459"/>
      <c r="H27" s="459"/>
      <c r="I27" s="719">
        <f>'Equitable Share'!I27</f>
        <v>0</v>
      </c>
      <c r="J27" s="719"/>
      <c r="K27" s="720" t="str">
        <f t="shared" si="0"/>
        <v xml:space="preserve"> </v>
      </c>
      <c r="L27" s="721"/>
      <c r="M27" s="722"/>
    </row>
    <row r="28" spans="1:13" x14ac:dyDescent="0.3">
      <c r="A28" s="711">
        <f>'Equitable Share'!$A28</f>
        <v>0</v>
      </c>
      <c r="B28" s="711"/>
      <c r="C28" s="711"/>
      <c r="D28" s="460" t="str">
        <f>'Equitable Share'!D28</f>
        <v xml:space="preserve"> </v>
      </c>
      <c r="E28" s="460"/>
      <c r="F28" s="460"/>
      <c r="G28" s="460"/>
      <c r="H28" s="460"/>
      <c r="I28" s="712">
        <f>'Equitable Share'!I28</f>
        <v>0</v>
      </c>
      <c r="J28" s="712"/>
      <c r="K28" s="713" t="str">
        <f t="shared" si="0"/>
        <v xml:space="preserve"> </v>
      </c>
      <c r="L28" s="714"/>
      <c r="M28" s="715"/>
    </row>
    <row r="29" spans="1:13" x14ac:dyDescent="0.3">
      <c r="A29" s="744">
        <f>'Equitable Share'!$A29</f>
        <v>0</v>
      </c>
      <c r="B29" s="744"/>
      <c r="C29" s="744"/>
      <c r="D29" s="459" t="str">
        <f>'Equitable Share'!D29</f>
        <v xml:space="preserve"> </v>
      </c>
      <c r="E29" s="459"/>
      <c r="F29" s="459"/>
      <c r="G29" s="459"/>
      <c r="H29" s="459"/>
      <c r="I29" s="719">
        <f>'Equitable Share'!I29</f>
        <v>0</v>
      </c>
      <c r="J29" s="719"/>
      <c r="K29" s="720" t="str">
        <f t="shared" si="0"/>
        <v xml:space="preserve"> </v>
      </c>
      <c r="L29" s="721"/>
      <c r="M29" s="722"/>
    </row>
    <row r="30" spans="1:13" x14ac:dyDescent="0.3">
      <c r="A30" s="711">
        <f>'Equitable Share'!$A30</f>
        <v>0</v>
      </c>
      <c r="B30" s="711"/>
      <c r="C30" s="711"/>
      <c r="D30" s="460" t="str">
        <f>'Equitable Share'!D30</f>
        <v xml:space="preserve"> </v>
      </c>
      <c r="E30" s="460"/>
      <c r="F30" s="460"/>
      <c r="G30" s="460"/>
      <c r="H30" s="460"/>
      <c r="I30" s="712">
        <f>'Equitable Share'!I30</f>
        <v>0</v>
      </c>
      <c r="J30" s="712"/>
      <c r="K30" s="713" t="str">
        <f t="shared" si="0"/>
        <v xml:space="preserve"> </v>
      </c>
      <c r="L30" s="714"/>
      <c r="M30" s="715"/>
    </row>
    <row r="31" spans="1:13" x14ac:dyDescent="0.3">
      <c r="A31" s="744">
        <f>'Equitable Share'!$A31</f>
        <v>0</v>
      </c>
      <c r="B31" s="744"/>
      <c r="C31" s="744"/>
      <c r="D31" s="459" t="str">
        <f>'Equitable Share'!D31</f>
        <v xml:space="preserve"> </v>
      </c>
      <c r="E31" s="459"/>
      <c r="F31" s="459"/>
      <c r="G31" s="459"/>
      <c r="H31" s="459"/>
      <c r="I31" s="719">
        <f>'Equitable Share'!I31</f>
        <v>0</v>
      </c>
      <c r="J31" s="719"/>
      <c r="K31" s="720" t="str">
        <f t="shared" si="0"/>
        <v xml:space="preserve"> </v>
      </c>
      <c r="L31" s="721"/>
      <c r="M31" s="722"/>
    </row>
    <row r="32" spans="1:13" x14ac:dyDescent="0.3">
      <c r="A32" s="711">
        <f>'Equitable Share'!$A32</f>
        <v>0</v>
      </c>
      <c r="B32" s="711"/>
      <c r="C32" s="711"/>
      <c r="D32" s="460" t="str">
        <f>'Equitable Share'!D32</f>
        <v xml:space="preserve"> </v>
      </c>
      <c r="E32" s="460"/>
      <c r="F32" s="460"/>
      <c r="G32" s="460"/>
      <c r="H32" s="460"/>
      <c r="I32" s="712">
        <f>'Equitable Share'!I32</f>
        <v>0</v>
      </c>
      <c r="J32" s="712"/>
      <c r="K32" s="713" t="str">
        <f t="shared" si="0"/>
        <v xml:space="preserve"> </v>
      </c>
      <c r="L32" s="714"/>
      <c r="M32" s="715"/>
    </row>
    <row r="33" spans="1:13" x14ac:dyDescent="0.3">
      <c r="A33" s="744">
        <f>'Equitable Share'!$A33</f>
        <v>0</v>
      </c>
      <c r="B33" s="744"/>
      <c r="C33" s="744"/>
      <c r="D33" s="459" t="str">
        <f>'Equitable Share'!D33</f>
        <v xml:space="preserve"> </v>
      </c>
      <c r="E33" s="459"/>
      <c r="F33" s="459"/>
      <c r="G33" s="459"/>
      <c r="H33" s="459"/>
      <c r="I33" s="719">
        <f>'Equitable Share'!I33</f>
        <v>0</v>
      </c>
      <c r="J33" s="719"/>
      <c r="K33" s="720" t="str">
        <f t="shared" si="0"/>
        <v xml:space="preserve"> </v>
      </c>
      <c r="L33" s="721"/>
      <c r="M33" s="722"/>
    </row>
    <row r="34" spans="1:13" x14ac:dyDescent="0.3">
      <c r="A34" s="711">
        <f>'Equitable Share'!$A34</f>
        <v>0</v>
      </c>
      <c r="B34" s="711"/>
      <c r="C34" s="711"/>
      <c r="D34" s="460" t="str">
        <f>'Equitable Share'!D34</f>
        <v xml:space="preserve"> </v>
      </c>
      <c r="E34" s="460"/>
      <c r="F34" s="460"/>
      <c r="G34" s="460"/>
      <c r="H34" s="460"/>
      <c r="I34" s="712">
        <f>'Equitable Share'!I34</f>
        <v>0</v>
      </c>
      <c r="J34" s="712"/>
      <c r="K34" s="713" t="str">
        <f t="shared" si="0"/>
        <v xml:space="preserve"> </v>
      </c>
      <c r="L34" s="714"/>
      <c r="M34" s="715"/>
    </row>
    <row r="35" spans="1:13" x14ac:dyDescent="0.3">
      <c r="A35" s="744">
        <f>'Equitable Share'!$A35</f>
        <v>0</v>
      </c>
      <c r="B35" s="744"/>
      <c r="C35" s="744"/>
      <c r="D35" s="459" t="str">
        <f>'Equitable Share'!D35</f>
        <v xml:space="preserve"> </v>
      </c>
      <c r="E35" s="459"/>
      <c r="F35" s="459"/>
      <c r="G35" s="459"/>
      <c r="H35" s="459"/>
      <c r="I35" s="719">
        <f>'Equitable Share'!I35</f>
        <v>0</v>
      </c>
      <c r="J35" s="719"/>
      <c r="K35" s="720" t="str">
        <f t="shared" si="0"/>
        <v xml:space="preserve"> </v>
      </c>
      <c r="L35" s="721"/>
      <c r="M35" s="722"/>
    </row>
    <row r="36" spans="1:13" x14ac:dyDescent="0.3">
      <c r="A36" s="711">
        <f>'Equitable Share'!$A36</f>
        <v>0</v>
      </c>
      <c r="B36" s="711"/>
      <c r="C36" s="711"/>
      <c r="D36" s="460" t="str">
        <f>'Equitable Share'!D36</f>
        <v xml:space="preserve"> </v>
      </c>
      <c r="E36" s="460"/>
      <c r="F36" s="460"/>
      <c r="G36" s="460"/>
      <c r="H36" s="460"/>
      <c r="I36" s="712">
        <f>'Equitable Share'!I36</f>
        <v>0</v>
      </c>
      <c r="J36" s="712"/>
      <c r="K36" s="713" t="str">
        <f t="shared" si="0"/>
        <v xml:space="preserve"> </v>
      </c>
      <c r="L36" s="714"/>
      <c r="M36" s="715"/>
    </row>
    <row r="37" spans="1:13" x14ac:dyDescent="0.3">
      <c r="A37" s="744">
        <f>'Equitable Share'!$A37</f>
        <v>0</v>
      </c>
      <c r="B37" s="744"/>
      <c r="C37" s="744"/>
      <c r="D37" s="459" t="str">
        <f>'Equitable Share'!D37</f>
        <v xml:space="preserve"> </v>
      </c>
      <c r="E37" s="459"/>
      <c r="F37" s="459"/>
      <c r="G37" s="459"/>
      <c r="H37" s="459"/>
      <c r="I37" s="719">
        <f>'Equitable Share'!I37</f>
        <v>0</v>
      </c>
      <c r="J37" s="719"/>
      <c r="K37" s="720" t="str">
        <f t="shared" si="0"/>
        <v xml:space="preserve"> </v>
      </c>
      <c r="L37" s="721"/>
      <c r="M37" s="722"/>
    </row>
    <row r="38" spans="1:13" x14ac:dyDescent="0.3">
      <c r="A38" s="711">
        <f>'Equitable Share'!$A38</f>
        <v>0</v>
      </c>
      <c r="B38" s="711"/>
      <c r="C38" s="711"/>
      <c r="D38" s="460" t="str">
        <f>'Equitable Share'!D38</f>
        <v xml:space="preserve"> </v>
      </c>
      <c r="E38" s="460"/>
      <c r="F38" s="460"/>
      <c r="G38" s="460"/>
      <c r="H38" s="460"/>
      <c r="I38" s="712">
        <f>'Equitable Share'!I38</f>
        <v>0</v>
      </c>
      <c r="J38" s="712"/>
      <c r="K38" s="713" t="str">
        <f t="shared" si="0"/>
        <v xml:space="preserve"> </v>
      </c>
      <c r="L38" s="714"/>
      <c r="M38" s="715"/>
    </row>
    <row r="39" spans="1:13" x14ac:dyDescent="0.3">
      <c r="A39" s="744">
        <f>'Equitable Share'!$A39</f>
        <v>0</v>
      </c>
      <c r="B39" s="744"/>
      <c r="C39" s="744"/>
      <c r="D39" s="459" t="str">
        <f>'Equitable Share'!D39</f>
        <v xml:space="preserve"> </v>
      </c>
      <c r="E39" s="459"/>
      <c r="F39" s="459"/>
      <c r="G39" s="459"/>
      <c r="H39" s="459"/>
      <c r="I39" s="719">
        <f>'Equitable Share'!I39</f>
        <v>0</v>
      </c>
      <c r="J39" s="719"/>
      <c r="K39" s="720" t="str">
        <f t="shared" si="0"/>
        <v xml:space="preserve"> </v>
      </c>
      <c r="L39" s="721"/>
      <c r="M39" s="722"/>
    </row>
    <row r="40" spans="1:13" x14ac:dyDescent="0.3">
      <c r="A40" s="711">
        <f>'Equitable Share'!$A40</f>
        <v>0</v>
      </c>
      <c r="B40" s="711"/>
      <c r="C40" s="711"/>
      <c r="D40" s="460" t="str">
        <f>'Equitable Share'!D40</f>
        <v xml:space="preserve"> </v>
      </c>
      <c r="E40" s="460"/>
      <c r="F40" s="460"/>
      <c r="G40" s="460"/>
      <c r="H40" s="460"/>
      <c r="I40" s="712">
        <f>'Equitable Share'!I40</f>
        <v>0</v>
      </c>
      <c r="J40" s="712"/>
      <c r="K40" s="713" t="str">
        <f t="shared" si="0"/>
        <v xml:space="preserve"> </v>
      </c>
      <c r="L40" s="714"/>
      <c r="M40" s="715"/>
    </row>
    <row r="41" spans="1:13" x14ac:dyDescent="0.3">
      <c r="A41" s="744">
        <f>'Equitable Share'!$A41</f>
        <v>0</v>
      </c>
      <c r="B41" s="744"/>
      <c r="C41" s="744"/>
      <c r="D41" s="459" t="str">
        <f>'Equitable Share'!D41</f>
        <v xml:space="preserve"> </v>
      </c>
      <c r="E41" s="459"/>
      <c r="F41" s="459"/>
      <c r="G41" s="459"/>
      <c r="H41" s="459"/>
      <c r="I41" s="719">
        <f>'Equitable Share'!I41</f>
        <v>0</v>
      </c>
      <c r="J41" s="719"/>
      <c r="K41" s="720" t="str">
        <f t="shared" si="0"/>
        <v xml:space="preserve"> </v>
      </c>
      <c r="L41" s="721"/>
      <c r="M41" s="722"/>
    </row>
    <row r="42" spans="1:13" x14ac:dyDescent="0.3">
      <c r="A42" s="711">
        <f>'Equitable Share'!$A42</f>
        <v>0</v>
      </c>
      <c r="B42" s="711"/>
      <c r="C42" s="711"/>
      <c r="D42" s="460" t="str">
        <f>'Equitable Share'!D42</f>
        <v xml:space="preserve"> </v>
      </c>
      <c r="E42" s="460"/>
      <c r="F42" s="460"/>
      <c r="G42" s="460"/>
      <c r="H42" s="460"/>
      <c r="I42" s="712">
        <f>'Equitable Share'!I42</f>
        <v>0</v>
      </c>
      <c r="J42" s="712"/>
      <c r="K42" s="713" t="str">
        <f t="shared" si="0"/>
        <v xml:space="preserve"> </v>
      </c>
      <c r="L42" s="714"/>
      <c r="M42" s="715"/>
    </row>
    <row r="43" spans="1:13" x14ac:dyDescent="0.3">
      <c r="A43" s="744">
        <f>'Equitable Share'!$A43</f>
        <v>0</v>
      </c>
      <c r="B43" s="744"/>
      <c r="C43" s="744"/>
      <c r="D43" s="459" t="str">
        <f>'Equitable Share'!D43</f>
        <v xml:space="preserve"> </v>
      </c>
      <c r="E43" s="459"/>
      <c r="F43" s="459"/>
      <c r="G43" s="459"/>
      <c r="H43" s="459"/>
      <c r="I43" s="719">
        <f>'Equitable Share'!I43</f>
        <v>0</v>
      </c>
      <c r="J43" s="719"/>
      <c r="K43" s="720" t="str">
        <f t="shared" si="0"/>
        <v xml:space="preserve"> </v>
      </c>
      <c r="L43" s="721"/>
      <c r="M43" s="722"/>
    </row>
    <row r="44" spans="1:13" x14ac:dyDescent="0.3">
      <c r="A44" s="711">
        <f>'Equitable Share'!$A44</f>
        <v>0</v>
      </c>
      <c r="B44" s="711"/>
      <c r="C44" s="711"/>
      <c r="D44" s="460" t="str">
        <f>'Equitable Share'!D44</f>
        <v xml:space="preserve"> </v>
      </c>
      <c r="E44" s="460"/>
      <c r="F44" s="460"/>
      <c r="G44" s="460"/>
      <c r="H44" s="460"/>
      <c r="I44" s="712">
        <f>'Equitable Share'!I44</f>
        <v>0</v>
      </c>
      <c r="J44" s="712"/>
      <c r="K44" s="713" t="str">
        <f t="shared" si="0"/>
        <v xml:space="preserve"> </v>
      </c>
      <c r="L44" s="714"/>
      <c r="M44" s="715"/>
    </row>
    <row r="45" spans="1:13" x14ac:dyDescent="0.3">
      <c r="A45" s="744">
        <f>'Equitable Share'!$A45</f>
        <v>0</v>
      </c>
      <c r="B45" s="744"/>
      <c r="C45" s="744"/>
      <c r="D45" s="459" t="str">
        <f>'Equitable Share'!D45</f>
        <v xml:space="preserve"> </v>
      </c>
      <c r="E45" s="459"/>
      <c r="F45" s="459"/>
      <c r="G45" s="459"/>
      <c r="H45" s="459"/>
      <c r="I45" s="719">
        <f>'Equitable Share'!I45</f>
        <v>0</v>
      </c>
      <c r="J45" s="719"/>
      <c r="K45" s="720" t="str">
        <f t="shared" si="0"/>
        <v xml:space="preserve"> </v>
      </c>
      <c r="L45" s="721"/>
      <c r="M45" s="722"/>
    </row>
    <row r="46" spans="1:13" x14ac:dyDescent="0.3">
      <c r="A46" s="711">
        <f>'Equitable Share'!$A46</f>
        <v>0</v>
      </c>
      <c r="B46" s="711"/>
      <c r="C46" s="711"/>
      <c r="D46" s="460" t="str">
        <f>'Equitable Share'!D46</f>
        <v xml:space="preserve"> </v>
      </c>
      <c r="E46" s="460"/>
      <c r="F46" s="460"/>
      <c r="G46" s="460"/>
      <c r="H46" s="460"/>
      <c r="I46" s="712">
        <f>'Equitable Share'!I46</f>
        <v>0</v>
      </c>
      <c r="J46" s="712"/>
      <c r="K46" s="713" t="str">
        <f t="shared" si="0"/>
        <v xml:space="preserve"> </v>
      </c>
      <c r="L46" s="714"/>
      <c r="M46" s="715"/>
    </row>
    <row r="47" spans="1:13" x14ac:dyDescent="0.3">
      <c r="A47" s="744">
        <f>'Equitable Share'!$A47</f>
        <v>0</v>
      </c>
      <c r="B47" s="744"/>
      <c r="C47" s="744"/>
      <c r="D47" s="459" t="str">
        <f>'Equitable Share'!D47</f>
        <v xml:space="preserve"> </v>
      </c>
      <c r="E47" s="459"/>
      <c r="F47" s="459"/>
      <c r="G47" s="459"/>
      <c r="H47" s="459"/>
      <c r="I47" s="719">
        <f>'Equitable Share'!I47</f>
        <v>0</v>
      </c>
      <c r="J47" s="719"/>
      <c r="K47" s="720" t="str">
        <f t="shared" si="0"/>
        <v xml:space="preserve"> </v>
      </c>
      <c r="L47" s="721"/>
      <c r="M47" s="722"/>
    </row>
    <row r="48" spans="1:13" x14ac:dyDescent="0.3">
      <c r="A48" s="711">
        <f>'Equitable Share'!$A48</f>
        <v>0</v>
      </c>
      <c r="B48" s="711"/>
      <c r="C48" s="711"/>
      <c r="D48" s="460" t="str">
        <f>'Equitable Share'!D48</f>
        <v xml:space="preserve"> </v>
      </c>
      <c r="E48" s="460"/>
      <c r="F48" s="460"/>
      <c r="G48" s="460"/>
      <c r="H48" s="460"/>
      <c r="I48" s="712">
        <f>'Equitable Share'!I48</f>
        <v>0</v>
      </c>
      <c r="J48" s="712"/>
      <c r="K48" s="713" t="str">
        <f t="shared" si="0"/>
        <v xml:space="preserve"> </v>
      </c>
      <c r="L48" s="714"/>
      <c r="M48" s="715"/>
    </row>
    <row r="49" spans="1:15" x14ac:dyDescent="0.3">
      <c r="A49" s="744">
        <f>'Equitable Share'!$A49</f>
        <v>0</v>
      </c>
      <c r="B49" s="744"/>
      <c r="C49" s="744"/>
      <c r="D49" s="459" t="str">
        <f>'Equitable Share'!D49</f>
        <v xml:space="preserve"> </v>
      </c>
      <c r="E49" s="459"/>
      <c r="F49" s="459"/>
      <c r="G49" s="459"/>
      <c r="H49" s="459"/>
      <c r="I49" s="719">
        <f>'Equitable Share'!I49</f>
        <v>0</v>
      </c>
      <c r="J49" s="719"/>
      <c r="K49" s="720" t="str">
        <f t="shared" si="0"/>
        <v xml:space="preserve"> </v>
      </c>
      <c r="L49" s="721"/>
      <c r="M49" s="722"/>
    </row>
    <row r="50" spans="1:15" x14ac:dyDescent="0.3">
      <c r="A50" s="711">
        <f>'Equitable Share'!$A50</f>
        <v>0</v>
      </c>
      <c r="B50" s="711"/>
      <c r="C50" s="711"/>
      <c r="D50" s="460" t="str">
        <f>'Equitable Share'!D50</f>
        <v xml:space="preserve"> </v>
      </c>
      <c r="E50" s="460"/>
      <c r="F50" s="460"/>
      <c r="G50" s="460"/>
      <c r="H50" s="460"/>
      <c r="I50" s="712">
        <f>'Equitable Share'!I50</f>
        <v>0</v>
      </c>
      <c r="J50" s="712"/>
      <c r="K50" s="713" t="str">
        <f t="shared" si="0"/>
        <v xml:space="preserve"> </v>
      </c>
      <c r="L50" s="714"/>
      <c r="M50" s="715"/>
    </row>
    <row r="51" spans="1:15" x14ac:dyDescent="0.3">
      <c r="A51" s="744">
        <f>'Equitable Share'!$A51</f>
        <v>0</v>
      </c>
      <c r="B51" s="744"/>
      <c r="C51" s="744"/>
      <c r="D51" s="459" t="str">
        <f>'Equitable Share'!D51</f>
        <v xml:space="preserve"> </v>
      </c>
      <c r="E51" s="459"/>
      <c r="F51" s="459"/>
      <c r="G51" s="459"/>
      <c r="H51" s="459"/>
      <c r="I51" s="719">
        <f>'Equitable Share'!I51</f>
        <v>0</v>
      </c>
      <c r="J51" s="719"/>
      <c r="K51" s="720" t="str">
        <f t="shared" si="0"/>
        <v xml:space="preserve"> </v>
      </c>
      <c r="L51" s="721"/>
      <c r="M51" s="722"/>
    </row>
    <row r="52" spans="1:15" x14ac:dyDescent="0.3">
      <c r="A52" s="711">
        <f>'Equitable Share'!$A52</f>
        <v>0</v>
      </c>
      <c r="B52" s="711"/>
      <c r="C52" s="711"/>
      <c r="D52" s="460" t="str">
        <f>'Equitable Share'!D52</f>
        <v xml:space="preserve"> </v>
      </c>
      <c r="E52" s="460"/>
      <c r="F52" s="460"/>
      <c r="G52" s="460"/>
      <c r="H52" s="460"/>
      <c r="I52" s="712">
        <f>'Equitable Share'!I52</f>
        <v>0</v>
      </c>
      <c r="J52" s="712"/>
      <c r="K52" s="713" t="str">
        <f t="shared" si="0"/>
        <v xml:space="preserve"> </v>
      </c>
      <c r="L52" s="714"/>
      <c r="M52" s="715"/>
    </row>
    <row r="53" spans="1:15" x14ac:dyDescent="0.3">
      <c r="A53" s="744">
        <f>'Equitable Share'!$A53</f>
        <v>0</v>
      </c>
      <c r="B53" s="744"/>
      <c r="C53" s="744"/>
      <c r="D53" s="459" t="str">
        <f>'Equitable Share'!D53</f>
        <v xml:space="preserve"> </v>
      </c>
      <c r="E53" s="459"/>
      <c r="F53" s="459"/>
      <c r="G53" s="459"/>
      <c r="H53" s="459"/>
      <c r="I53" s="719">
        <f>'Equitable Share'!I53</f>
        <v>0</v>
      </c>
      <c r="J53" s="719"/>
      <c r="K53" s="720" t="str">
        <f t="shared" si="0"/>
        <v xml:space="preserve"> </v>
      </c>
      <c r="L53" s="721"/>
      <c r="M53" s="722"/>
    </row>
    <row r="54" spans="1:15" x14ac:dyDescent="0.3">
      <c r="A54" s="711">
        <f>'Equitable Share'!$A54</f>
        <v>0</v>
      </c>
      <c r="B54" s="711"/>
      <c r="C54" s="711"/>
      <c r="D54" s="460" t="str">
        <f>'Equitable Share'!D54</f>
        <v xml:space="preserve"> </v>
      </c>
      <c r="E54" s="460"/>
      <c r="F54" s="460"/>
      <c r="G54" s="460"/>
      <c r="H54" s="460"/>
      <c r="I54" s="712">
        <f>'Equitable Share'!I54</f>
        <v>0</v>
      </c>
      <c r="J54" s="712"/>
      <c r="K54" s="713" t="str">
        <f t="shared" si="0"/>
        <v xml:space="preserve"> </v>
      </c>
      <c r="L54" s="714"/>
      <c r="M54" s="715"/>
    </row>
    <row r="55" spans="1:15" x14ac:dyDescent="0.3">
      <c r="A55" s="744">
        <f>'Equitable Share'!$A55</f>
        <v>0</v>
      </c>
      <c r="B55" s="744"/>
      <c r="C55" s="744"/>
      <c r="D55" s="459" t="str">
        <f>'Equitable Share'!D55</f>
        <v xml:space="preserve"> </v>
      </c>
      <c r="E55" s="459"/>
      <c r="F55" s="459"/>
      <c r="G55" s="459"/>
      <c r="H55" s="459"/>
      <c r="I55" s="719">
        <f>'Equitable Share'!I55</f>
        <v>0</v>
      </c>
      <c r="J55" s="719"/>
      <c r="K55" s="720" t="str">
        <f t="shared" si="0"/>
        <v xml:space="preserve"> </v>
      </c>
      <c r="L55" s="721"/>
      <c r="M55" s="722"/>
    </row>
    <row r="56" spans="1:15" x14ac:dyDescent="0.3">
      <c r="A56" s="710"/>
      <c r="B56" s="710"/>
      <c r="C56" s="710"/>
      <c r="D56" s="710"/>
      <c r="E56" s="710"/>
      <c r="F56" s="710"/>
      <c r="G56" s="710"/>
      <c r="H56" s="710"/>
      <c r="I56" s="459">
        <f>SUM(I12:J55)</f>
        <v>0</v>
      </c>
      <c r="J56" s="459"/>
      <c r="K56" s="709" t="str">
        <f t="shared" si="0"/>
        <v xml:space="preserve"> </v>
      </c>
      <c r="L56" s="709"/>
      <c r="M56" s="709"/>
      <c r="O56" s="61"/>
    </row>
    <row r="57" spans="1:15" x14ac:dyDescent="0.3">
      <c r="A57" s="60"/>
      <c r="B57" s="30"/>
      <c r="C57" s="30"/>
      <c r="D57" s="30"/>
      <c r="E57" s="30"/>
      <c r="F57" s="30"/>
      <c r="G57" s="30"/>
      <c r="H57" s="30"/>
      <c r="I57" s="475" t="s">
        <v>108</v>
      </c>
      <c r="J57" s="475"/>
      <c r="K57" s="475" t="s">
        <v>109</v>
      </c>
      <c r="L57" s="475"/>
      <c r="M57" s="476"/>
    </row>
    <row r="58" spans="1:15" ht="15" thickBot="1" x14ac:dyDescent="0.35">
      <c r="A58" s="62"/>
      <c r="B58" s="63"/>
      <c r="C58" s="63"/>
      <c r="D58" s="63"/>
      <c r="E58" s="63"/>
      <c r="F58" s="63"/>
      <c r="G58" s="63"/>
      <c r="H58" s="63"/>
      <c r="I58" s="63"/>
      <c r="J58" s="63"/>
      <c r="K58" s="63"/>
      <c r="L58" s="63"/>
      <c r="M58" s="64"/>
    </row>
  </sheetData>
  <sheetProtection algorithmName="SHA-512" hashValue="6999Sp2jsz633vCQgiq8Onn4tNVH7oLthoZoCDfUNeqIRydASAgHu69iBoU4Fb6IHAeQAYhV0cNJkgmqhDpr3A==" saltValue="d9DLmIyB8dE9jSfBzLM2cQ==" spinCount="100000" sheet="1" objects="1" scenarios="1" selectLockedCells="1"/>
  <mergeCells count="199">
    <mergeCell ref="A1:M1"/>
    <mergeCell ref="A2:M2"/>
    <mergeCell ref="C4:D4"/>
    <mergeCell ref="F4:H4"/>
    <mergeCell ref="J4:L4"/>
    <mergeCell ref="C5:D5"/>
    <mergeCell ref="F5:I5"/>
    <mergeCell ref="J5:L5"/>
    <mergeCell ref="A12:C12"/>
    <mergeCell ref="D12:H12"/>
    <mergeCell ref="I12:J12"/>
    <mergeCell ref="K12:M12"/>
    <mergeCell ref="A13:C13"/>
    <mergeCell ref="D13:H13"/>
    <mergeCell ref="I13:J13"/>
    <mergeCell ref="K13:M13"/>
    <mergeCell ref="C7:D7"/>
    <mergeCell ref="F7:H7"/>
    <mergeCell ref="J7:L7"/>
    <mergeCell ref="C8:D8"/>
    <mergeCell ref="J8:L8"/>
    <mergeCell ref="A11:C11"/>
    <mergeCell ref="D11:H11"/>
    <mergeCell ref="I11:J11"/>
    <mergeCell ref="K11:M11"/>
    <mergeCell ref="A16:C16"/>
    <mergeCell ref="D16:H16"/>
    <mergeCell ref="I16:J16"/>
    <mergeCell ref="K16:M16"/>
    <mergeCell ref="A17:C17"/>
    <mergeCell ref="D17:H17"/>
    <mergeCell ref="I17:J17"/>
    <mergeCell ref="K17:M17"/>
    <mergeCell ref="A14:C14"/>
    <mergeCell ref="D14:H14"/>
    <mergeCell ref="I14:J14"/>
    <mergeCell ref="K14:M14"/>
    <mergeCell ref="A15:C15"/>
    <mergeCell ref="D15:H15"/>
    <mergeCell ref="I15:J15"/>
    <mergeCell ref="K15:M15"/>
    <mergeCell ref="A20:C20"/>
    <mergeCell ref="D20:H20"/>
    <mergeCell ref="I20:J20"/>
    <mergeCell ref="K20:M20"/>
    <mergeCell ref="A21:C21"/>
    <mergeCell ref="D21:H21"/>
    <mergeCell ref="I21:J21"/>
    <mergeCell ref="K21:M21"/>
    <mergeCell ref="A18:C18"/>
    <mergeCell ref="D18:H18"/>
    <mergeCell ref="I18:J18"/>
    <mergeCell ref="K18:M18"/>
    <mergeCell ref="A19:C19"/>
    <mergeCell ref="D19:H19"/>
    <mergeCell ref="I19:J19"/>
    <mergeCell ref="K19:M19"/>
    <mergeCell ref="A24:C24"/>
    <mergeCell ref="D24:H24"/>
    <mergeCell ref="I24:J24"/>
    <mergeCell ref="K24:M24"/>
    <mergeCell ref="A25:C25"/>
    <mergeCell ref="D25:H25"/>
    <mergeCell ref="I25:J25"/>
    <mergeCell ref="K25:M25"/>
    <mergeCell ref="A22:C22"/>
    <mergeCell ref="D22:H22"/>
    <mergeCell ref="I22:J22"/>
    <mergeCell ref="K22:M22"/>
    <mergeCell ref="A23:C23"/>
    <mergeCell ref="D23:H23"/>
    <mergeCell ref="I23:J23"/>
    <mergeCell ref="K23:M23"/>
    <mergeCell ref="A28:C28"/>
    <mergeCell ref="D28:H28"/>
    <mergeCell ref="I28:J28"/>
    <mergeCell ref="K28:M28"/>
    <mergeCell ref="A29:C29"/>
    <mergeCell ref="D29:H29"/>
    <mergeCell ref="I29:J29"/>
    <mergeCell ref="K29:M29"/>
    <mergeCell ref="A26:C26"/>
    <mergeCell ref="D26:H26"/>
    <mergeCell ref="I26:J26"/>
    <mergeCell ref="K26:M26"/>
    <mergeCell ref="A27:C27"/>
    <mergeCell ref="D27:H27"/>
    <mergeCell ref="I27:J27"/>
    <mergeCell ref="K27:M27"/>
    <mergeCell ref="A32:C32"/>
    <mergeCell ref="D32:H32"/>
    <mergeCell ref="I32:J32"/>
    <mergeCell ref="K32:M32"/>
    <mergeCell ref="A33:C33"/>
    <mergeCell ref="D33:H33"/>
    <mergeCell ref="I33:J33"/>
    <mergeCell ref="K33:M33"/>
    <mergeCell ref="A30:C30"/>
    <mergeCell ref="D30:H30"/>
    <mergeCell ref="I30:J30"/>
    <mergeCell ref="K30:M30"/>
    <mergeCell ref="A31:C31"/>
    <mergeCell ref="D31:H31"/>
    <mergeCell ref="I31:J31"/>
    <mergeCell ref="K31:M31"/>
    <mergeCell ref="A36:C36"/>
    <mergeCell ref="D36:H36"/>
    <mergeCell ref="I36:J36"/>
    <mergeCell ref="K36:M36"/>
    <mergeCell ref="A37:C37"/>
    <mergeCell ref="D37:H37"/>
    <mergeCell ref="I37:J37"/>
    <mergeCell ref="K37:M37"/>
    <mergeCell ref="A34:C34"/>
    <mergeCell ref="D34:H34"/>
    <mergeCell ref="I34:J34"/>
    <mergeCell ref="K34:M34"/>
    <mergeCell ref="A35:C35"/>
    <mergeCell ref="D35:H35"/>
    <mergeCell ref="I35:J35"/>
    <mergeCell ref="K35:M35"/>
    <mergeCell ref="A40:C40"/>
    <mergeCell ref="D40:H40"/>
    <mergeCell ref="I40:J40"/>
    <mergeCell ref="K40:M40"/>
    <mergeCell ref="A41:C41"/>
    <mergeCell ref="D41:H41"/>
    <mergeCell ref="I41:J41"/>
    <mergeCell ref="K41:M41"/>
    <mergeCell ref="A38:C38"/>
    <mergeCell ref="D38:H38"/>
    <mergeCell ref="I38:J38"/>
    <mergeCell ref="K38:M38"/>
    <mergeCell ref="A39:C39"/>
    <mergeCell ref="D39:H39"/>
    <mergeCell ref="I39:J39"/>
    <mergeCell ref="K39:M39"/>
    <mergeCell ref="A44:C44"/>
    <mergeCell ref="D44:H44"/>
    <mergeCell ref="I44:J44"/>
    <mergeCell ref="K44:M44"/>
    <mergeCell ref="A45:C45"/>
    <mergeCell ref="D45:H45"/>
    <mergeCell ref="I45:J45"/>
    <mergeCell ref="K45:M45"/>
    <mergeCell ref="A42:C42"/>
    <mergeCell ref="D42:H42"/>
    <mergeCell ref="I42:J42"/>
    <mergeCell ref="K42:M42"/>
    <mergeCell ref="A43:C43"/>
    <mergeCell ref="D43:H43"/>
    <mergeCell ref="I43:J43"/>
    <mergeCell ref="K43:M43"/>
    <mergeCell ref="A48:C48"/>
    <mergeCell ref="D48:H48"/>
    <mergeCell ref="I48:J48"/>
    <mergeCell ref="K48:M48"/>
    <mergeCell ref="A49:C49"/>
    <mergeCell ref="D49:H49"/>
    <mergeCell ref="I49:J49"/>
    <mergeCell ref="K49:M49"/>
    <mergeCell ref="A46:C46"/>
    <mergeCell ref="D46:H46"/>
    <mergeCell ref="I46:J46"/>
    <mergeCell ref="K46:M46"/>
    <mergeCell ref="A47:C47"/>
    <mergeCell ref="D47:H47"/>
    <mergeCell ref="I47:J47"/>
    <mergeCell ref="K47:M47"/>
    <mergeCell ref="A52:C52"/>
    <mergeCell ref="D52:H52"/>
    <mergeCell ref="I52:J52"/>
    <mergeCell ref="K52:M52"/>
    <mergeCell ref="A53:C53"/>
    <mergeCell ref="D53:H53"/>
    <mergeCell ref="I53:J53"/>
    <mergeCell ref="K53:M53"/>
    <mergeCell ref="A50:C50"/>
    <mergeCell ref="D50:H50"/>
    <mergeCell ref="I50:J50"/>
    <mergeCell ref="K50:M50"/>
    <mergeCell ref="A51:C51"/>
    <mergeCell ref="D51:H51"/>
    <mergeCell ref="I51:J51"/>
    <mergeCell ref="K51:M51"/>
    <mergeCell ref="A56:C56"/>
    <mergeCell ref="D56:H56"/>
    <mergeCell ref="I56:J56"/>
    <mergeCell ref="K56:M56"/>
    <mergeCell ref="I57:J57"/>
    <mergeCell ref="K57:M57"/>
    <mergeCell ref="A54:C54"/>
    <mergeCell ref="D54:H54"/>
    <mergeCell ref="I54:J54"/>
    <mergeCell ref="K54:M54"/>
    <mergeCell ref="A55:C55"/>
    <mergeCell ref="D55:H55"/>
    <mergeCell ref="I55:J55"/>
    <mergeCell ref="K55:M55"/>
  </mergeCells>
  <pageMargins left="0.7" right="0.7" top="0.75" bottom="0.75" header="0.3" footer="0.3"/>
  <pageSetup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5EED-AEB0-449F-B90D-839C0296BBF4}">
  <sheetPr codeName="Sheet18">
    <tabColor rgb="FF009999"/>
  </sheetPr>
  <dimension ref="A1:L114"/>
  <sheetViews>
    <sheetView showGridLines="0" zoomScaleNormal="100" workbookViewId="0">
      <selection activeCell="C4" sqref="C4:D4"/>
    </sheetView>
  </sheetViews>
  <sheetFormatPr defaultColWidth="8.88671875" defaultRowHeight="14.4" x14ac:dyDescent="0.3"/>
  <cols>
    <col min="1" max="1" width="42.6640625" style="14" customWidth="1"/>
    <col min="2" max="2" width="52.6640625" style="14" customWidth="1"/>
    <col min="3" max="3" width="29.5546875" style="14" customWidth="1"/>
    <col min="4" max="4" width="16.44140625" style="14" customWidth="1"/>
    <col min="5" max="6" width="2.109375" style="14" customWidth="1"/>
    <col min="7" max="7" width="46.5546875" style="14" customWidth="1"/>
    <col min="8" max="8" width="15.21875" style="14" customWidth="1"/>
    <col min="9" max="16384" width="8.88671875" style="14"/>
  </cols>
  <sheetData>
    <row r="1" spans="1:12" ht="43.2" customHeight="1" x14ac:dyDescent="0.3">
      <c r="A1" s="745" t="s">
        <v>422</v>
      </c>
      <c r="B1" s="746"/>
      <c r="C1" s="746"/>
      <c r="D1" s="746"/>
      <c r="E1" s="746"/>
      <c r="F1" s="746"/>
      <c r="G1" s="746"/>
      <c r="H1" s="747"/>
    </row>
    <row r="2" spans="1:12" ht="14.4" customHeight="1" x14ac:dyDescent="0.3">
      <c r="A2" s="544" t="s">
        <v>2027</v>
      </c>
      <c r="B2" s="544"/>
      <c r="C2" s="544"/>
      <c r="D2" s="544"/>
      <c r="E2" s="544"/>
      <c r="F2" s="544"/>
      <c r="G2" s="544"/>
      <c r="H2" s="544"/>
    </row>
    <row r="3" spans="1:12" s="41" customFormat="1" ht="26.4" customHeight="1" thickBot="1" x14ac:dyDescent="0.35">
      <c r="A3" s="545"/>
      <c r="B3" s="545"/>
      <c r="C3" s="545"/>
      <c r="D3" s="545"/>
      <c r="E3" s="545"/>
      <c r="F3" s="545"/>
      <c r="G3" s="545"/>
      <c r="H3" s="545"/>
    </row>
    <row r="4" spans="1:12" s="41" customFormat="1" ht="14.4" customHeight="1" thickBot="1" x14ac:dyDescent="0.4">
      <c r="A4" s="69" t="s">
        <v>1968</v>
      </c>
      <c r="B4" s="69" t="s">
        <v>32</v>
      </c>
      <c r="C4" s="224" t="s">
        <v>33</v>
      </c>
      <c r="D4" s="69" t="s">
        <v>34</v>
      </c>
      <c r="E4" s="45"/>
      <c r="F4" s="45"/>
      <c r="G4" s="45"/>
      <c r="H4" s="45"/>
      <c r="I4" s="45"/>
      <c r="J4" s="45"/>
      <c r="K4" s="45"/>
      <c r="L4" s="45"/>
    </row>
    <row r="5" spans="1:12" ht="14.4" customHeight="1" thickBot="1" x14ac:dyDescent="0.4">
      <c r="A5" s="70" t="s">
        <v>2025</v>
      </c>
      <c r="B5" s="70" t="s">
        <v>1998</v>
      </c>
      <c r="C5" s="70" t="s">
        <v>48</v>
      </c>
      <c r="D5" s="71" t="s">
        <v>76</v>
      </c>
      <c r="G5" s="6" t="s">
        <v>66</v>
      </c>
      <c r="H5" s="7" t="s">
        <v>34</v>
      </c>
    </row>
    <row r="6" spans="1:12" ht="14.4" customHeight="1" x14ac:dyDescent="0.3">
      <c r="A6" s="4"/>
      <c r="B6" s="133"/>
      <c r="C6" s="136"/>
      <c r="D6" s="226"/>
      <c r="G6" s="8" t="s">
        <v>81</v>
      </c>
      <c r="H6" s="9">
        <f>SUMIF($C$6:$C$111,"Instruction: Salary (Cert./Non Cert.)", $D$6:$D$111)</f>
        <v>0</v>
      </c>
    </row>
    <row r="7" spans="1:12" ht="14.4" customHeight="1" x14ac:dyDescent="0.3">
      <c r="A7" s="4"/>
      <c r="B7" s="133"/>
      <c r="C7" s="55"/>
      <c r="D7" s="68"/>
      <c r="G7" s="8" t="s">
        <v>82</v>
      </c>
      <c r="H7" s="9">
        <f>SUMIF($C$6:$C$111,"Instruction: Benefits (Cert./Non Cert.)", $D$6:$D$111)</f>
        <v>0</v>
      </c>
    </row>
    <row r="8" spans="1:12" ht="14.4" customHeight="1" x14ac:dyDescent="0.3">
      <c r="A8" s="4"/>
      <c r="B8" s="133"/>
      <c r="C8" s="4"/>
      <c r="D8" s="5"/>
      <c r="G8" s="10" t="s">
        <v>35</v>
      </c>
      <c r="H8" s="9">
        <f>SUMIF($C$6:$C$111,"Instruction: Professional Services", $D$6:$D$111)</f>
        <v>0</v>
      </c>
    </row>
    <row r="9" spans="1:12" ht="14.4" customHeight="1" x14ac:dyDescent="0.3">
      <c r="A9" s="4"/>
      <c r="B9" s="133"/>
      <c r="C9" s="4"/>
      <c r="D9" s="5"/>
      <c r="G9" s="10" t="s">
        <v>36</v>
      </c>
      <c r="H9" s="9">
        <f>SUMIF($C$6:$C$111,"Instruction: Rentals", $D$6:$D$111)</f>
        <v>0</v>
      </c>
    </row>
    <row r="10" spans="1:12" ht="14.4" customHeight="1" x14ac:dyDescent="0.3">
      <c r="A10" s="4"/>
      <c r="B10" s="133"/>
      <c r="C10" s="4"/>
      <c r="D10" s="5"/>
      <c r="G10" s="10" t="s">
        <v>37</v>
      </c>
      <c r="H10" s="9">
        <f>SUMIF($C$6:$C$111,"Instruction: Other Purchased Services", $D$6:$D$111)</f>
        <v>0</v>
      </c>
    </row>
    <row r="11" spans="1:12" ht="14.4" customHeight="1" x14ac:dyDescent="0.3">
      <c r="A11" s="4"/>
      <c r="B11" s="133"/>
      <c r="C11" s="4"/>
      <c r="D11" s="5"/>
      <c r="G11" s="10" t="s">
        <v>38</v>
      </c>
      <c r="H11" s="9">
        <f>SUMIF($C$6:$C$111,"Instruction: General Supplies", $D$6:$D$111)</f>
        <v>0</v>
      </c>
    </row>
    <row r="12" spans="1:12" ht="14.4" customHeight="1" x14ac:dyDescent="0.3">
      <c r="A12" s="4"/>
      <c r="B12" s="133"/>
      <c r="C12" s="4"/>
      <c r="D12" s="5"/>
      <c r="G12" s="10" t="s">
        <v>39</v>
      </c>
      <c r="H12" s="9">
        <f>SUMIF($C$6:$C$111,"Instruction: Property", $D$6:$D$111)</f>
        <v>0</v>
      </c>
    </row>
    <row r="13" spans="1:12" ht="14.4" customHeight="1" x14ac:dyDescent="0.3">
      <c r="A13" s="4"/>
      <c r="B13" s="133"/>
      <c r="C13" s="4"/>
      <c r="D13" s="5"/>
      <c r="G13" s="10"/>
      <c r="H13" s="9"/>
    </row>
    <row r="14" spans="1:12" ht="14.4" customHeight="1" x14ac:dyDescent="0.3">
      <c r="A14" s="4"/>
      <c r="B14" s="133"/>
      <c r="C14" s="4"/>
      <c r="D14" s="5"/>
      <c r="G14" s="8" t="s">
        <v>83</v>
      </c>
      <c r="H14" s="9">
        <f>SUMIF($C$6:$C$111,"Support Services (Student): Salary (Cert./Non Cert.)", $D$6:$D$111)</f>
        <v>0</v>
      </c>
    </row>
    <row r="15" spans="1:12" ht="14.4" customHeight="1" x14ac:dyDescent="0.3">
      <c r="A15" s="4"/>
      <c r="B15" s="133"/>
      <c r="C15" s="4"/>
      <c r="D15" s="5"/>
      <c r="G15" s="8" t="s">
        <v>84</v>
      </c>
      <c r="H15" s="9">
        <f>SUMIF($C$6:$C$111,"Support Services (Student): Benefits (Cert./Non Cert.)", $D$6:$D$111)</f>
        <v>0</v>
      </c>
    </row>
    <row r="16" spans="1:12" ht="14.4" customHeight="1" x14ac:dyDescent="0.3">
      <c r="A16" s="4"/>
      <c r="B16" s="133"/>
      <c r="C16" s="4"/>
      <c r="D16" s="5"/>
      <c r="G16" s="10" t="s">
        <v>40</v>
      </c>
      <c r="H16" s="9">
        <f>SUMIF($C$6:$C$111,"Support Services (Student): Professional Services", $D$6:$D$111)</f>
        <v>0</v>
      </c>
    </row>
    <row r="17" spans="1:8" ht="14.4" customHeight="1" x14ac:dyDescent="0.3">
      <c r="A17" s="4"/>
      <c r="B17" s="133"/>
      <c r="C17" s="4"/>
      <c r="D17" s="5"/>
      <c r="G17" s="10" t="s">
        <v>41</v>
      </c>
      <c r="H17" s="9">
        <f>SUMIF($C$6:$C$111,"Support Services (Student): Rentals", $D$6:$D$111)</f>
        <v>0</v>
      </c>
    </row>
    <row r="18" spans="1:8" ht="14.4" customHeight="1" x14ac:dyDescent="0.3">
      <c r="A18" s="4"/>
      <c r="B18" s="133"/>
      <c r="C18" s="4"/>
      <c r="D18" s="5"/>
      <c r="G18" s="10" t="s">
        <v>42</v>
      </c>
      <c r="H18" s="9">
        <f>SUMIF($C$6:$C$111,"Support Services (Student): Other Purchased Services", $D$6:$D$111)</f>
        <v>0</v>
      </c>
    </row>
    <row r="19" spans="1:8" ht="14.4" customHeight="1" x14ac:dyDescent="0.3">
      <c r="A19" s="4"/>
      <c r="B19" s="133"/>
      <c r="C19" s="4"/>
      <c r="D19" s="5"/>
      <c r="G19" s="10" t="s">
        <v>43</v>
      </c>
      <c r="H19" s="9">
        <f>SUMIF($C$6:$C$111,"Support Services (Student): General Supplies", $D$6:$D$111)</f>
        <v>0</v>
      </c>
    </row>
    <row r="20" spans="1:8" ht="14.4" customHeight="1" x14ac:dyDescent="0.3">
      <c r="A20" s="4"/>
      <c r="B20" s="133"/>
      <c r="C20" s="4"/>
      <c r="D20" s="5"/>
      <c r="G20" s="10" t="s">
        <v>44</v>
      </c>
      <c r="H20" s="9">
        <f>SUMIF($C$6:$C$111,"Support Services (Student): Property", $D$6:$D$111)</f>
        <v>0</v>
      </c>
    </row>
    <row r="21" spans="1:8" ht="14.4" customHeight="1" x14ac:dyDescent="0.3">
      <c r="A21" s="4"/>
      <c r="B21" s="133"/>
      <c r="C21" s="4"/>
      <c r="D21" s="5"/>
      <c r="G21" s="10"/>
      <c r="H21" s="9"/>
    </row>
    <row r="22" spans="1:8" ht="14.4" customHeight="1" x14ac:dyDescent="0.3">
      <c r="A22" s="4"/>
      <c r="B22" s="133"/>
      <c r="C22" s="4"/>
      <c r="D22" s="5"/>
      <c r="G22" s="8" t="s">
        <v>85</v>
      </c>
      <c r="H22" s="9">
        <f>SUMIF($C$6:$C$111,"Improvement of Instruction: Salary (Cert./Non Cert.)", $D$6:$D$111)</f>
        <v>0</v>
      </c>
    </row>
    <row r="23" spans="1:8" ht="14.4" customHeight="1" x14ac:dyDescent="0.3">
      <c r="A23" s="4"/>
      <c r="B23" s="133"/>
      <c r="C23" s="4"/>
      <c r="D23" s="5"/>
      <c r="G23" s="8" t="s">
        <v>86</v>
      </c>
      <c r="H23" s="9">
        <f>SUMIF($C$6:$C$111,"Improvement of Instruction: Benefits (Cert./Non Cert.)", $D$6:$D$111)</f>
        <v>0</v>
      </c>
    </row>
    <row r="24" spans="1:8" ht="14.4" customHeight="1" x14ac:dyDescent="0.3">
      <c r="A24" s="4"/>
      <c r="B24" s="133"/>
      <c r="C24" s="4"/>
      <c r="D24" s="5"/>
      <c r="G24" s="10" t="s">
        <v>45</v>
      </c>
      <c r="H24" s="9">
        <f>SUMIF($C$6:$C$111,"Improvement of Instruction: Professional Services", $D$6:$D$111)</f>
        <v>0</v>
      </c>
    </row>
    <row r="25" spans="1:8" ht="14.4" customHeight="1" x14ac:dyDescent="0.3">
      <c r="A25" s="4"/>
      <c r="B25" s="133"/>
      <c r="C25" s="4"/>
      <c r="D25" s="5"/>
      <c r="G25" s="10" t="s">
        <v>46</v>
      </c>
      <c r="H25" s="9">
        <f>SUMIF($C$6:$C$111,"Improvement of Instruction: Rentals", $D$6:$D$111)</f>
        <v>0</v>
      </c>
    </row>
    <row r="26" spans="1:8" ht="14.4" customHeight="1" x14ac:dyDescent="0.3">
      <c r="A26" s="4"/>
      <c r="B26" s="133"/>
      <c r="C26" s="4"/>
      <c r="D26" s="5"/>
      <c r="G26" s="10" t="s">
        <v>47</v>
      </c>
      <c r="H26" s="9">
        <f>SUMIF($C$6:$C$111,"Improvement of Instruction: Other Purchased Services", $D$6:$D$111)</f>
        <v>0</v>
      </c>
    </row>
    <row r="27" spans="1:8" ht="14.4" customHeight="1" x14ac:dyDescent="0.3">
      <c r="A27" s="4"/>
      <c r="B27" s="133"/>
      <c r="C27" s="4"/>
      <c r="D27" s="5"/>
      <c r="G27" s="10" t="s">
        <v>48</v>
      </c>
      <c r="H27" s="9">
        <f>SUMIF($C$6:$C$111,"Improvement of Instruction: General Supplies", $D$6:$D$111)</f>
        <v>0</v>
      </c>
    </row>
    <row r="28" spans="1:8" ht="14.4" customHeight="1" x14ac:dyDescent="0.3">
      <c r="A28" s="4"/>
      <c r="B28" s="133"/>
      <c r="C28" s="4"/>
      <c r="D28" s="5"/>
      <c r="G28" s="10" t="s">
        <v>49</v>
      </c>
      <c r="H28" s="9">
        <f>SUMIF($C$6:$C$111,"Improvement of Instruction: Property", $D$6:$D$111)</f>
        <v>0</v>
      </c>
    </row>
    <row r="29" spans="1:8" ht="14.4" customHeight="1" x14ac:dyDescent="0.3">
      <c r="A29" s="4"/>
      <c r="B29" s="133"/>
      <c r="C29" s="4"/>
      <c r="D29" s="5"/>
      <c r="G29" s="10"/>
      <c r="H29" s="9"/>
    </row>
    <row r="30" spans="1:8" ht="14.4" customHeight="1" x14ac:dyDescent="0.3">
      <c r="A30" s="4"/>
      <c r="B30" s="133"/>
      <c r="C30" s="4"/>
      <c r="D30" s="5"/>
      <c r="G30" s="8" t="s">
        <v>402</v>
      </c>
      <c r="H30" s="9">
        <f>SUMIF($C$6:$C$111,"Other Support Services-Admin: Salary (Cert./Non Cert.)", $D$6:$D$111)</f>
        <v>0</v>
      </c>
    </row>
    <row r="31" spans="1:8" ht="14.4" customHeight="1" x14ac:dyDescent="0.3">
      <c r="A31" s="4"/>
      <c r="B31" s="133"/>
      <c r="C31" s="4"/>
      <c r="D31" s="5"/>
      <c r="G31" s="8" t="s">
        <v>403</v>
      </c>
      <c r="H31" s="9">
        <f>SUMIF($C$6:$C$111,"Other Support Services-Admin: Benefits (Cert./Non Cert.)", $D$6:$D$111)</f>
        <v>0</v>
      </c>
    </row>
    <row r="32" spans="1:8" ht="14.4" customHeight="1" x14ac:dyDescent="0.3">
      <c r="A32" s="4"/>
      <c r="B32" s="133"/>
      <c r="C32" s="4"/>
      <c r="D32" s="5"/>
      <c r="G32" s="10" t="s">
        <v>404</v>
      </c>
      <c r="H32" s="9">
        <f>SUMIF($C$6:$C$111,"Other Support Services-Admin: Professional Services", $D$6:$D$111)</f>
        <v>0</v>
      </c>
    </row>
    <row r="33" spans="1:8" ht="14.4" customHeight="1" x14ac:dyDescent="0.3">
      <c r="A33" s="4"/>
      <c r="B33" s="133"/>
      <c r="C33" s="4"/>
      <c r="D33" s="5"/>
      <c r="G33" s="10" t="s">
        <v>405</v>
      </c>
      <c r="H33" s="9">
        <f>SUMIF($C$6:$C$111,"Other Support Services-Admin: Rentals", $D$6:$D$111)</f>
        <v>0</v>
      </c>
    </row>
    <row r="34" spans="1:8" ht="14.4" customHeight="1" x14ac:dyDescent="0.3">
      <c r="A34" s="4"/>
      <c r="B34" s="133"/>
      <c r="C34" s="4"/>
      <c r="D34" s="5"/>
      <c r="G34" s="10" t="s">
        <v>406</v>
      </c>
      <c r="H34" s="9">
        <f>SUMIF($C$6:$C$111,"Other Support Services-Admin: Other Purchased Services", $D$6:$D$111)</f>
        <v>0</v>
      </c>
    </row>
    <row r="35" spans="1:8" ht="14.4" customHeight="1" x14ac:dyDescent="0.3">
      <c r="A35" s="4"/>
      <c r="B35" s="133"/>
      <c r="C35" s="4"/>
      <c r="D35" s="5"/>
      <c r="G35" s="10" t="s">
        <v>407</v>
      </c>
      <c r="H35" s="9">
        <f>SUMIF($C$6:$C$111,"Other Support Services-Admin: General Supplies", $D$6:$D$111)</f>
        <v>0</v>
      </c>
    </row>
    <row r="36" spans="1:8" ht="14.4" customHeight="1" x14ac:dyDescent="0.3">
      <c r="A36" s="4"/>
      <c r="B36" s="133"/>
      <c r="C36" s="4"/>
      <c r="D36" s="5"/>
      <c r="G36" s="10" t="s">
        <v>408</v>
      </c>
      <c r="H36" s="9">
        <f>SUMIF($C$6:$C$111,"Other Support Services-Admin: Property", $D$6:$D$111)</f>
        <v>0</v>
      </c>
    </row>
    <row r="37" spans="1:8" ht="14.4" customHeight="1" x14ac:dyDescent="0.3">
      <c r="A37" s="4"/>
      <c r="B37" s="133"/>
      <c r="C37" s="4"/>
      <c r="D37" s="5"/>
      <c r="G37" s="10"/>
      <c r="H37" s="9"/>
    </row>
    <row r="38" spans="1:8" ht="14.4" customHeight="1" x14ac:dyDescent="0.3">
      <c r="A38" s="4"/>
      <c r="B38" s="133"/>
      <c r="C38" s="4"/>
      <c r="D38" s="5"/>
      <c r="G38" s="8" t="s">
        <v>87</v>
      </c>
      <c r="H38" s="9">
        <f>SUMIF($C$6:$C$111,"Operations and Maintenance: Salary (Cert./Non Cert.)", $D$6:$D$111)</f>
        <v>0</v>
      </c>
    </row>
    <row r="39" spans="1:8" ht="14.4" customHeight="1" x14ac:dyDescent="0.3">
      <c r="A39" s="4"/>
      <c r="B39" s="133"/>
      <c r="C39" s="4"/>
      <c r="D39" s="5"/>
      <c r="G39" s="8" t="s">
        <v>88</v>
      </c>
      <c r="H39" s="9">
        <f>SUMIF($C$6:$C$111,"Operations and Maintenance: Benefits (Cert./Non Cert.)", $D$6:$D$111)</f>
        <v>0</v>
      </c>
    </row>
    <row r="40" spans="1:8" ht="14.4" customHeight="1" x14ac:dyDescent="0.3">
      <c r="A40" s="4"/>
      <c r="B40" s="133"/>
      <c r="C40" s="4"/>
      <c r="D40" s="5"/>
      <c r="G40" s="10" t="s">
        <v>50</v>
      </c>
      <c r="H40" s="9">
        <f>SUMIF($C$6:$C$111,"Operations and Maintenance: Professional Services", $D$6:$D$111)</f>
        <v>0</v>
      </c>
    </row>
    <row r="41" spans="1:8" ht="14.4" customHeight="1" x14ac:dyDescent="0.3">
      <c r="A41" s="4"/>
      <c r="B41" s="133"/>
      <c r="C41" s="4"/>
      <c r="D41" s="5"/>
      <c r="G41" s="10" t="s">
        <v>51</v>
      </c>
      <c r="H41" s="9">
        <f>SUMIF($C$6:$C$111,"Operations and Maintenance: Rentals", $D$6:$D$111)</f>
        <v>0</v>
      </c>
    </row>
    <row r="42" spans="1:8" ht="14.4" customHeight="1" x14ac:dyDescent="0.3">
      <c r="A42" s="4"/>
      <c r="B42" s="133"/>
      <c r="C42" s="4"/>
      <c r="D42" s="5"/>
      <c r="G42" s="10" t="s">
        <v>52</v>
      </c>
      <c r="H42" s="9">
        <f>SUMIF($C$6:$C$111,"Operations and Maintenance: Other Purchased Services", $D$6:$D$111)</f>
        <v>0</v>
      </c>
    </row>
    <row r="43" spans="1:8" ht="14.4" customHeight="1" x14ac:dyDescent="0.3">
      <c r="A43" s="4"/>
      <c r="B43" s="133"/>
      <c r="C43" s="4"/>
      <c r="D43" s="5"/>
      <c r="G43" s="10" t="s">
        <v>53</v>
      </c>
      <c r="H43" s="9">
        <f>SUMIF($C$6:$C$111,"Operations and Maintenance: General Supplies", $D$6:$D$111)</f>
        <v>0</v>
      </c>
    </row>
    <row r="44" spans="1:8" ht="14.4" customHeight="1" x14ac:dyDescent="0.3">
      <c r="A44" s="4"/>
      <c r="B44" s="133"/>
      <c r="C44" s="4"/>
      <c r="D44" s="5"/>
      <c r="G44" s="10" t="s">
        <v>54</v>
      </c>
      <c r="H44" s="9">
        <f>SUMIF($C$6:$C$111,"Operations and Maintenance: Property", $D$6:$D$111)</f>
        <v>0</v>
      </c>
    </row>
    <row r="45" spans="1:8" ht="14.4" customHeight="1" x14ac:dyDescent="0.3">
      <c r="A45" s="4"/>
      <c r="B45" s="133"/>
      <c r="C45" s="4"/>
      <c r="D45" s="5"/>
      <c r="G45" s="10"/>
      <c r="H45" s="9"/>
    </row>
    <row r="46" spans="1:8" ht="14.4" customHeight="1" x14ac:dyDescent="0.3">
      <c r="A46" s="4"/>
      <c r="B46" s="133"/>
      <c r="C46" s="4"/>
      <c r="D46" s="5"/>
      <c r="G46" s="8" t="s">
        <v>89</v>
      </c>
      <c r="H46" s="9">
        <f>SUMIF($C$6:$C$111,"Transportation: Salary (Cert./Non Cert.)", $D$6:$D$111)</f>
        <v>0</v>
      </c>
    </row>
    <row r="47" spans="1:8" ht="14.4" customHeight="1" x14ac:dyDescent="0.3">
      <c r="A47" s="4"/>
      <c r="B47" s="133"/>
      <c r="C47" s="4"/>
      <c r="D47" s="5"/>
      <c r="G47" s="8" t="s">
        <v>90</v>
      </c>
      <c r="H47" s="9">
        <f>SUMIF($C$6:$C$111,"Transportation: Benefits (Cert./Non Cert.)", $D$6:$D$111)</f>
        <v>0</v>
      </c>
    </row>
    <row r="48" spans="1:8" ht="14.4" customHeight="1" x14ac:dyDescent="0.3">
      <c r="A48" s="4"/>
      <c r="B48" s="133"/>
      <c r="C48" s="4"/>
      <c r="D48" s="5"/>
      <c r="G48" s="10" t="s">
        <v>55</v>
      </c>
      <c r="H48" s="9">
        <f>SUMIF($C$6:$C$111,"Transportation: Professional Services", $D$6:$D$111)</f>
        <v>0</v>
      </c>
    </row>
    <row r="49" spans="1:9" x14ac:dyDescent="0.3">
      <c r="A49" s="4"/>
      <c r="B49" s="133"/>
      <c r="C49" s="4"/>
      <c r="D49" s="5"/>
      <c r="G49" s="10" t="s">
        <v>56</v>
      </c>
      <c r="H49" s="9">
        <f>SUMIF($C$6:$C$111,"Transportation: Rentals", $D$6:$D$111)</f>
        <v>0</v>
      </c>
    </row>
    <row r="50" spans="1:9" x14ac:dyDescent="0.3">
      <c r="A50" s="4"/>
      <c r="B50" s="133"/>
      <c r="C50" s="4"/>
      <c r="D50" s="5"/>
      <c r="G50" s="10" t="s">
        <v>57</v>
      </c>
      <c r="H50" s="9">
        <f>SUMIF($C$6:$C$111,"Transportation: Other Purchased Services", $D$6:$D$111)</f>
        <v>0</v>
      </c>
    </row>
    <row r="51" spans="1:9" x14ac:dyDescent="0.3">
      <c r="A51" s="4"/>
      <c r="B51" s="133"/>
      <c r="C51" s="4"/>
      <c r="D51" s="5"/>
      <c r="G51" s="10" t="s">
        <v>58</v>
      </c>
      <c r="H51" s="9">
        <f>SUMIF($C$6:$C$111,"Transportation: General Supplies", $D$6:$D$111)</f>
        <v>0</v>
      </c>
    </row>
    <row r="52" spans="1:9" x14ac:dyDescent="0.3">
      <c r="A52" s="4"/>
      <c r="B52" s="133"/>
      <c r="C52" s="4"/>
      <c r="D52" s="5"/>
      <c r="G52" s="10" t="s">
        <v>59</v>
      </c>
      <c r="H52" s="9">
        <f>SUMIF($C$6:$C$111,"Transportation: Property", $D$6:$D$111)</f>
        <v>0</v>
      </c>
    </row>
    <row r="53" spans="1:9" x14ac:dyDescent="0.3">
      <c r="A53" s="4"/>
      <c r="B53" s="133"/>
      <c r="C53" s="4"/>
      <c r="D53" s="5"/>
      <c r="G53" s="10"/>
      <c r="H53" s="9"/>
    </row>
    <row r="54" spans="1:9" x14ac:dyDescent="0.3">
      <c r="A54" s="4"/>
      <c r="B54" s="133"/>
      <c r="C54" s="4"/>
      <c r="D54" s="5"/>
      <c r="G54" s="8" t="s">
        <v>91</v>
      </c>
      <c r="H54" s="9">
        <f>SUMIF($C$6:$C$111,"Community Services Operations: Salary (Cert./Non Cert.)", $D$6:$D$111)</f>
        <v>0</v>
      </c>
    </row>
    <row r="55" spans="1:9" x14ac:dyDescent="0.3">
      <c r="A55" s="4"/>
      <c r="B55" s="133"/>
      <c r="C55" s="4"/>
      <c r="D55" s="5"/>
      <c r="G55" s="8" t="s">
        <v>92</v>
      </c>
      <c r="H55" s="9">
        <f>SUMIF($C$6:$C$111,"Community Services Operations: Benefits (Cert./Non Cert.)", $D$6:$D$111)</f>
        <v>0</v>
      </c>
    </row>
    <row r="56" spans="1:9" x14ac:dyDescent="0.3">
      <c r="A56" s="4"/>
      <c r="B56" s="133"/>
      <c r="C56" s="4"/>
      <c r="D56" s="5"/>
      <c r="G56" s="10" t="s">
        <v>60</v>
      </c>
      <c r="H56" s="9">
        <f>SUMIF($C$6:$C$111,"Community Services Operations: Professional Services", $D$6:$D$111)</f>
        <v>0</v>
      </c>
    </row>
    <row r="57" spans="1:9" x14ac:dyDescent="0.3">
      <c r="A57" s="4"/>
      <c r="B57" s="133"/>
      <c r="C57" s="4"/>
      <c r="D57" s="5"/>
      <c r="G57" s="10" t="s">
        <v>61</v>
      </c>
      <c r="H57" s="9">
        <f>SUMIF($C$6:$C$111,"Community Services Operations: Rentals", $D$6:$D$111)</f>
        <v>0</v>
      </c>
    </row>
    <row r="58" spans="1:9" x14ac:dyDescent="0.3">
      <c r="A58" s="4"/>
      <c r="B58" s="133"/>
      <c r="C58" s="4"/>
      <c r="D58" s="5"/>
      <c r="G58" s="10" t="s">
        <v>62</v>
      </c>
      <c r="H58" s="9">
        <f>SUMIF($C$6:$C$111,"Community Services Operations: Other Purchased Services", $D$6:$D$111)</f>
        <v>0</v>
      </c>
    </row>
    <row r="59" spans="1:9" x14ac:dyDescent="0.3">
      <c r="A59" s="4"/>
      <c r="B59" s="133"/>
      <c r="C59" s="4"/>
      <c r="D59" s="5"/>
      <c r="G59" s="10" t="s">
        <v>63</v>
      </c>
      <c r="H59" s="9">
        <f>SUMIF($C$6:$C$111,"Community Services Operations: General Supplies", $D$6:$D$111)</f>
        <v>0</v>
      </c>
    </row>
    <row r="60" spans="1:9" x14ac:dyDescent="0.3">
      <c r="A60" s="4"/>
      <c r="B60" s="133"/>
      <c r="C60" s="4"/>
      <c r="D60" s="5"/>
      <c r="G60" s="10" t="s">
        <v>64</v>
      </c>
      <c r="H60" s="9">
        <f>SUMIF($C$6:$C$111,"Community Services Operations: Property", $D$6:$D$111)</f>
        <v>0</v>
      </c>
    </row>
    <row r="61" spans="1:9" x14ac:dyDescent="0.3">
      <c r="A61" s="4"/>
      <c r="B61" s="133"/>
      <c r="C61" s="4"/>
      <c r="D61" s="5"/>
      <c r="G61" s="10"/>
      <c r="H61" s="9"/>
    </row>
    <row r="62" spans="1:9" x14ac:dyDescent="0.3">
      <c r="A62" s="4"/>
      <c r="B62" s="133"/>
      <c r="C62" s="4"/>
      <c r="D62" s="5"/>
      <c r="G62" s="11" t="s">
        <v>65</v>
      </c>
      <c r="H62" s="9">
        <f>SUMIF($C$6:$C$111,"Indirect Cost Used", $D$6:$D$111)</f>
        <v>0</v>
      </c>
    </row>
    <row r="63" spans="1:9" x14ac:dyDescent="0.3">
      <c r="A63" s="4"/>
      <c r="B63" s="133"/>
      <c r="C63" s="4"/>
      <c r="D63" s="5"/>
      <c r="G63" s="186"/>
      <c r="H63" s="185"/>
    </row>
    <row r="64" spans="1:9" ht="14.4" customHeight="1" x14ac:dyDescent="0.3">
      <c r="A64" s="4"/>
      <c r="B64" s="133"/>
      <c r="C64" s="4"/>
      <c r="D64" s="5"/>
      <c r="G64" s="165" t="s">
        <v>69</v>
      </c>
      <c r="H64" s="54">
        <f>SUM(H6:H62)</f>
        <v>0</v>
      </c>
      <c r="I64" s="181">
        <f>SUM(H30:H37)+H62</f>
        <v>0</v>
      </c>
    </row>
    <row r="65" spans="1:8" x14ac:dyDescent="0.3">
      <c r="A65" s="4"/>
      <c r="B65" s="133"/>
      <c r="C65" s="4"/>
      <c r="D65" s="5"/>
    </row>
    <row r="66" spans="1:8" x14ac:dyDescent="0.3">
      <c r="A66" s="4"/>
      <c r="B66" s="133"/>
      <c r="C66" s="4"/>
      <c r="D66" s="5"/>
      <c r="G66" s="72" t="s">
        <v>1968</v>
      </c>
      <c r="H66" s="72" t="s">
        <v>1969</v>
      </c>
    </row>
    <row r="67" spans="1:8" x14ac:dyDescent="0.3">
      <c r="A67" s="4"/>
      <c r="B67" s="133"/>
      <c r="C67" s="4"/>
      <c r="D67" s="5"/>
      <c r="G67" s="73" t="str">
        <f>'Equitable Share'!D12</f>
        <v xml:space="preserve"> </v>
      </c>
      <c r="H67" s="14">
        <f>SUMIF($A$6:$A$111,G67,$D$6:$D$111)</f>
        <v>0</v>
      </c>
    </row>
    <row r="68" spans="1:8" x14ac:dyDescent="0.3">
      <c r="A68" s="4"/>
      <c r="B68" s="133"/>
      <c r="C68" s="4"/>
      <c r="D68" s="5"/>
      <c r="G68" s="73" t="str">
        <f>'Equitable Share'!D13</f>
        <v xml:space="preserve"> </v>
      </c>
      <c r="H68" s="14">
        <f t="shared" ref="H68:H96" si="0">SUMIF($A$6:$A$111,G68,$D$6:$D$111)</f>
        <v>0</v>
      </c>
    </row>
    <row r="69" spans="1:8" x14ac:dyDescent="0.3">
      <c r="A69" s="4"/>
      <c r="B69" s="133"/>
      <c r="C69" s="4"/>
      <c r="D69" s="5"/>
      <c r="G69" s="73" t="str">
        <f>'Equitable Share'!D14</f>
        <v xml:space="preserve"> </v>
      </c>
      <c r="H69" s="14">
        <f t="shared" si="0"/>
        <v>0</v>
      </c>
    </row>
    <row r="70" spans="1:8" x14ac:dyDescent="0.3">
      <c r="A70" s="4"/>
      <c r="B70" s="133"/>
      <c r="C70" s="4"/>
      <c r="D70" s="5"/>
      <c r="G70" s="73" t="str">
        <f>'Equitable Share'!D15</f>
        <v xml:space="preserve"> </v>
      </c>
      <c r="H70" s="14">
        <f t="shared" si="0"/>
        <v>0</v>
      </c>
    </row>
    <row r="71" spans="1:8" x14ac:dyDescent="0.3">
      <c r="A71" s="4"/>
      <c r="B71" s="133"/>
      <c r="C71" s="4"/>
      <c r="D71" s="5"/>
      <c r="G71" s="73" t="str">
        <f>'Equitable Share'!D16</f>
        <v xml:space="preserve"> </v>
      </c>
      <c r="H71" s="14">
        <f t="shared" si="0"/>
        <v>0</v>
      </c>
    </row>
    <row r="72" spans="1:8" x14ac:dyDescent="0.3">
      <c r="A72" s="4"/>
      <c r="B72" s="133"/>
      <c r="C72" s="4"/>
      <c r="D72" s="5"/>
      <c r="G72" s="73" t="str">
        <f>'Equitable Share'!D17</f>
        <v xml:space="preserve"> </v>
      </c>
      <c r="H72" s="14">
        <f t="shared" si="0"/>
        <v>0</v>
      </c>
    </row>
    <row r="73" spans="1:8" x14ac:dyDescent="0.3">
      <c r="A73" s="4"/>
      <c r="B73" s="133"/>
      <c r="C73" s="4"/>
      <c r="D73" s="5"/>
      <c r="G73" s="73" t="str">
        <f>'Equitable Share'!D18</f>
        <v xml:space="preserve"> </v>
      </c>
      <c r="H73" s="14">
        <f t="shared" si="0"/>
        <v>0</v>
      </c>
    </row>
    <row r="74" spans="1:8" x14ac:dyDescent="0.3">
      <c r="A74" s="4"/>
      <c r="B74" s="133"/>
      <c r="C74" s="4"/>
      <c r="D74" s="5"/>
      <c r="G74" s="73" t="str">
        <f>'Equitable Share'!D19</f>
        <v xml:space="preserve"> </v>
      </c>
      <c r="H74" s="14">
        <f t="shared" si="0"/>
        <v>0</v>
      </c>
    </row>
    <row r="75" spans="1:8" x14ac:dyDescent="0.3">
      <c r="A75" s="4"/>
      <c r="B75" s="133"/>
      <c r="C75" s="4"/>
      <c r="D75" s="5"/>
      <c r="G75" s="73" t="str">
        <f>'Equitable Share'!D20</f>
        <v xml:space="preserve"> </v>
      </c>
      <c r="H75" s="14">
        <f t="shared" si="0"/>
        <v>0</v>
      </c>
    </row>
    <row r="76" spans="1:8" x14ac:dyDescent="0.3">
      <c r="A76" s="4"/>
      <c r="B76" s="133"/>
      <c r="C76" s="4"/>
      <c r="D76" s="5"/>
      <c r="G76" s="73" t="str">
        <f>'Equitable Share'!D21</f>
        <v xml:space="preserve"> </v>
      </c>
      <c r="H76" s="14">
        <f t="shared" si="0"/>
        <v>0</v>
      </c>
    </row>
    <row r="77" spans="1:8" x14ac:dyDescent="0.3">
      <c r="A77" s="4"/>
      <c r="B77" s="133"/>
      <c r="C77" s="4"/>
      <c r="D77" s="5"/>
      <c r="G77" s="73" t="str">
        <f>'Equitable Share'!D22</f>
        <v xml:space="preserve"> </v>
      </c>
      <c r="H77" s="14">
        <f t="shared" si="0"/>
        <v>0</v>
      </c>
    </row>
    <row r="78" spans="1:8" x14ac:dyDescent="0.3">
      <c r="A78" s="4"/>
      <c r="B78" s="133"/>
      <c r="C78" s="4"/>
      <c r="D78" s="5"/>
      <c r="G78" s="73" t="str">
        <f>'Equitable Share'!D23</f>
        <v xml:space="preserve"> </v>
      </c>
      <c r="H78" s="14">
        <f t="shared" si="0"/>
        <v>0</v>
      </c>
    </row>
    <row r="79" spans="1:8" x14ac:dyDescent="0.3">
      <c r="A79" s="4"/>
      <c r="B79" s="133"/>
      <c r="C79" s="4"/>
      <c r="D79" s="5"/>
      <c r="G79" s="73" t="str">
        <f>'Equitable Share'!D24</f>
        <v xml:space="preserve"> </v>
      </c>
      <c r="H79" s="14">
        <f t="shared" si="0"/>
        <v>0</v>
      </c>
    </row>
    <row r="80" spans="1:8" x14ac:dyDescent="0.3">
      <c r="A80" s="4"/>
      <c r="B80" s="133"/>
      <c r="C80" s="4"/>
      <c r="D80" s="5"/>
      <c r="G80" s="73" t="str">
        <f>'Equitable Share'!D39</f>
        <v xml:space="preserve"> </v>
      </c>
      <c r="H80" s="14">
        <f t="shared" si="0"/>
        <v>0</v>
      </c>
    </row>
    <row r="81" spans="1:8" x14ac:dyDescent="0.3">
      <c r="A81" s="4"/>
      <c r="B81" s="133"/>
      <c r="C81" s="4"/>
      <c r="D81" s="5"/>
      <c r="G81" s="73" t="str">
        <f>'Equitable Share'!D40</f>
        <v xml:space="preserve"> </v>
      </c>
      <c r="H81" s="14">
        <f t="shared" si="0"/>
        <v>0</v>
      </c>
    </row>
    <row r="82" spans="1:8" x14ac:dyDescent="0.3">
      <c r="A82" s="4"/>
      <c r="B82" s="133"/>
      <c r="C82" s="4"/>
      <c r="D82" s="5"/>
      <c r="G82" s="73" t="str">
        <f>'Equitable Share'!D41</f>
        <v xml:space="preserve"> </v>
      </c>
      <c r="H82" s="14">
        <f t="shared" si="0"/>
        <v>0</v>
      </c>
    </row>
    <row r="83" spans="1:8" x14ac:dyDescent="0.3">
      <c r="A83" s="4"/>
      <c r="B83" s="133"/>
      <c r="C83" s="4"/>
      <c r="D83" s="5"/>
      <c r="G83" s="73" t="str">
        <f>'Equitable Share'!D42</f>
        <v xml:space="preserve"> </v>
      </c>
      <c r="H83" s="14">
        <f t="shared" si="0"/>
        <v>0</v>
      </c>
    </row>
    <row r="84" spans="1:8" x14ac:dyDescent="0.3">
      <c r="A84" s="4"/>
      <c r="B84" s="133"/>
      <c r="C84" s="4"/>
      <c r="D84" s="5"/>
      <c r="G84" s="73" t="str">
        <f>'Equitable Share'!D43</f>
        <v xml:space="preserve"> </v>
      </c>
      <c r="H84" s="14">
        <f t="shared" si="0"/>
        <v>0</v>
      </c>
    </row>
    <row r="85" spans="1:8" x14ac:dyDescent="0.3">
      <c r="A85" s="4"/>
      <c r="B85" s="133"/>
      <c r="C85" s="4"/>
      <c r="D85" s="5"/>
      <c r="G85" s="73" t="str">
        <f>'Equitable Share'!D44</f>
        <v xml:space="preserve"> </v>
      </c>
      <c r="H85" s="14">
        <f t="shared" si="0"/>
        <v>0</v>
      </c>
    </row>
    <row r="86" spans="1:8" x14ac:dyDescent="0.3">
      <c r="A86" s="4"/>
      <c r="B86" s="133"/>
      <c r="C86" s="4"/>
      <c r="D86" s="5"/>
      <c r="G86" s="73" t="str">
        <f>'Equitable Share'!D45</f>
        <v xml:space="preserve"> </v>
      </c>
      <c r="H86" s="14">
        <f t="shared" si="0"/>
        <v>0</v>
      </c>
    </row>
    <row r="87" spans="1:8" x14ac:dyDescent="0.3">
      <c r="A87" s="4"/>
      <c r="B87" s="133"/>
      <c r="C87" s="4"/>
      <c r="D87" s="5"/>
      <c r="G87" s="73" t="str">
        <f>'Equitable Share'!D46</f>
        <v xml:space="preserve"> </v>
      </c>
      <c r="H87" s="14">
        <f t="shared" si="0"/>
        <v>0</v>
      </c>
    </row>
    <row r="88" spans="1:8" x14ac:dyDescent="0.3">
      <c r="A88" s="4"/>
      <c r="B88" s="133"/>
      <c r="C88" s="4"/>
      <c r="D88" s="5"/>
      <c r="G88" s="73" t="str">
        <f>'Equitable Share'!D47</f>
        <v xml:space="preserve"> </v>
      </c>
      <c r="H88" s="14">
        <f t="shared" si="0"/>
        <v>0</v>
      </c>
    </row>
    <row r="89" spans="1:8" x14ac:dyDescent="0.3">
      <c r="A89" s="4"/>
      <c r="B89" s="133"/>
      <c r="C89" s="4"/>
      <c r="D89" s="5"/>
      <c r="G89" s="73" t="str">
        <f>'Equitable Share'!D48</f>
        <v xml:space="preserve"> </v>
      </c>
      <c r="H89" s="14">
        <f t="shared" si="0"/>
        <v>0</v>
      </c>
    </row>
    <row r="90" spans="1:8" x14ac:dyDescent="0.3">
      <c r="A90" s="4"/>
      <c r="B90" s="133"/>
      <c r="C90" s="4"/>
      <c r="D90" s="5"/>
      <c r="G90" s="73" t="str">
        <f>'Equitable Share'!D49</f>
        <v xml:space="preserve"> </v>
      </c>
      <c r="H90" s="14">
        <f t="shared" si="0"/>
        <v>0</v>
      </c>
    </row>
    <row r="91" spans="1:8" x14ac:dyDescent="0.3">
      <c r="A91" s="4"/>
      <c r="B91" s="133"/>
      <c r="C91" s="4"/>
      <c r="D91" s="5"/>
      <c r="G91" s="73" t="str">
        <f>'Equitable Share'!D50</f>
        <v xml:space="preserve"> </v>
      </c>
      <c r="H91" s="14">
        <f t="shared" si="0"/>
        <v>0</v>
      </c>
    </row>
    <row r="92" spans="1:8" x14ac:dyDescent="0.3">
      <c r="A92" s="4"/>
      <c r="B92" s="133"/>
      <c r="C92" s="4"/>
      <c r="D92" s="5"/>
      <c r="G92" s="73" t="str">
        <f>'Equitable Share'!D51</f>
        <v xml:space="preserve"> </v>
      </c>
      <c r="H92" s="14">
        <f t="shared" si="0"/>
        <v>0</v>
      </c>
    </row>
    <row r="93" spans="1:8" x14ac:dyDescent="0.3">
      <c r="A93" s="4"/>
      <c r="B93" s="133"/>
      <c r="C93" s="4"/>
      <c r="D93" s="5"/>
      <c r="G93" s="73" t="str">
        <f>'Equitable Share'!D52</f>
        <v xml:space="preserve"> </v>
      </c>
      <c r="H93" s="14">
        <f t="shared" si="0"/>
        <v>0</v>
      </c>
    </row>
    <row r="94" spans="1:8" x14ac:dyDescent="0.3">
      <c r="A94" s="4"/>
      <c r="B94" s="133"/>
      <c r="C94" s="4"/>
      <c r="D94" s="5"/>
      <c r="G94" s="73" t="str">
        <f>'Equitable Share'!D53</f>
        <v xml:space="preserve"> </v>
      </c>
      <c r="H94" s="14">
        <f t="shared" si="0"/>
        <v>0</v>
      </c>
    </row>
    <row r="95" spans="1:8" x14ac:dyDescent="0.3">
      <c r="A95" s="4"/>
      <c r="B95" s="133"/>
      <c r="C95" s="4"/>
      <c r="D95" s="5"/>
      <c r="G95" s="73" t="str">
        <f>'Equitable Share'!D54</f>
        <v xml:space="preserve"> </v>
      </c>
      <c r="H95" s="14">
        <f t="shared" si="0"/>
        <v>0</v>
      </c>
    </row>
    <row r="96" spans="1:8" x14ac:dyDescent="0.3">
      <c r="A96" s="4"/>
      <c r="B96" s="133"/>
      <c r="C96" s="4"/>
      <c r="D96" s="5"/>
      <c r="G96" s="73" t="str">
        <f>'Equitable Share'!D55</f>
        <v xml:space="preserve"> </v>
      </c>
      <c r="H96" s="14">
        <f t="shared" si="0"/>
        <v>0</v>
      </c>
    </row>
    <row r="97" spans="1:4" x14ac:dyDescent="0.3">
      <c r="A97" s="4"/>
      <c r="B97" s="133"/>
      <c r="C97" s="4"/>
      <c r="D97" s="5"/>
    </row>
    <row r="98" spans="1:4" x14ac:dyDescent="0.3">
      <c r="A98" s="4"/>
      <c r="B98" s="133"/>
      <c r="C98" s="4"/>
      <c r="D98" s="5"/>
    </row>
    <row r="99" spans="1:4" x14ac:dyDescent="0.3">
      <c r="A99" s="4"/>
      <c r="B99" s="133"/>
      <c r="C99" s="4"/>
      <c r="D99" s="5"/>
    </row>
    <row r="100" spans="1:4" x14ac:dyDescent="0.3">
      <c r="A100" s="4"/>
      <c r="B100" s="133"/>
      <c r="C100" s="4"/>
      <c r="D100" s="5"/>
    </row>
    <row r="101" spans="1:4" x14ac:dyDescent="0.3">
      <c r="A101" s="4"/>
      <c r="B101" s="133"/>
      <c r="C101" s="4"/>
      <c r="D101" s="5"/>
    </row>
    <row r="102" spans="1:4" x14ac:dyDescent="0.3">
      <c r="A102" s="4"/>
      <c r="B102" s="133"/>
      <c r="C102" s="4"/>
      <c r="D102" s="5"/>
    </row>
    <row r="103" spans="1:4" x14ac:dyDescent="0.3">
      <c r="A103" s="4"/>
      <c r="B103" s="133"/>
      <c r="C103" s="4"/>
      <c r="D103" s="5"/>
    </row>
    <row r="104" spans="1:4" x14ac:dyDescent="0.3">
      <c r="A104" s="4"/>
      <c r="B104" s="133"/>
      <c r="C104" s="4"/>
      <c r="D104" s="5"/>
    </row>
    <row r="105" spans="1:4" x14ac:dyDescent="0.3">
      <c r="A105" s="4"/>
      <c r="B105" s="133"/>
      <c r="C105" s="4"/>
      <c r="D105" s="5"/>
    </row>
    <row r="106" spans="1:4" x14ac:dyDescent="0.3">
      <c r="A106" s="4"/>
      <c r="B106" s="133"/>
      <c r="C106" s="4"/>
      <c r="D106" s="5"/>
    </row>
    <row r="107" spans="1:4" x14ac:dyDescent="0.3">
      <c r="A107" s="4"/>
      <c r="B107" s="133"/>
      <c r="C107" s="4"/>
      <c r="D107" s="5"/>
    </row>
    <row r="108" spans="1:4" x14ac:dyDescent="0.3">
      <c r="A108" s="4"/>
      <c r="B108" s="133"/>
      <c r="C108" s="4"/>
      <c r="D108" s="5"/>
    </row>
    <row r="109" spans="1:4" x14ac:dyDescent="0.3">
      <c r="A109" s="4"/>
      <c r="B109" s="133"/>
      <c r="C109" s="4"/>
      <c r="D109" s="5"/>
    </row>
    <row r="110" spans="1:4" x14ac:dyDescent="0.3">
      <c r="A110" s="4"/>
      <c r="B110" s="133"/>
      <c r="C110" s="4"/>
      <c r="D110" s="5"/>
    </row>
    <row r="111" spans="1:4" x14ac:dyDescent="0.3">
      <c r="A111" s="4"/>
      <c r="B111" s="133"/>
      <c r="C111" s="4"/>
      <c r="D111" s="5"/>
    </row>
    <row r="112" spans="1:4" ht="15.6" x14ac:dyDescent="0.3">
      <c r="A112" s="74"/>
      <c r="B112" s="74"/>
      <c r="C112" s="75" t="s">
        <v>1986</v>
      </c>
      <c r="D112" s="166">
        <f>SUM(D6:D111)</f>
        <v>0</v>
      </c>
    </row>
    <row r="113" spans="3:4" ht="15.6" x14ac:dyDescent="0.3">
      <c r="C113" s="76" t="s">
        <v>1987</v>
      </c>
      <c r="D113" s="164" t="str">
        <f>'Amend#2 Overview'!G13</f>
        <v xml:space="preserve"> </v>
      </c>
    </row>
    <row r="114" spans="3:4" x14ac:dyDescent="0.3">
      <c r="C114" s="77" t="s">
        <v>400</v>
      </c>
      <c r="D114" s="54" t="str">
        <f>IFERROR(D113-D112,"")</f>
        <v/>
      </c>
    </row>
  </sheetData>
  <sheetProtection algorithmName="SHA-512" hashValue="VFSH8oIshkXGGPE8vNZ2M9zbndjafPMro+ERhwyDOD1PnJvO5cYn4YOqS5HTFHKPQ88QhqP4xtlVbYqpfEUVrQ==" saltValue="2hPl9BPaDCuyVPHc++K98Q==" spinCount="100000" sheet="1" objects="1" scenarios="1" selectLockedCells="1"/>
  <mergeCells count="2">
    <mergeCell ref="A1:H1"/>
    <mergeCell ref="A2:H3"/>
  </mergeCells>
  <conditionalFormatting sqref="H67:H96">
    <cfRule type="expression" dxfId="130" priority="7" stopIfTrue="1">
      <formula>H67=0</formula>
    </cfRule>
  </conditionalFormatting>
  <conditionalFormatting sqref="D112">
    <cfRule type="cellIs" dxfId="129" priority="4" operator="lessThan">
      <formula>$D$113</formula>
    </cfRule>
    <cfRule type="cellIs" dxfId="128" priority="5" operator="equal">
      <formula>$D$113</formula>
    </cfRule>
    <cfRule type="cellIs" dxfId="127" priority="6" operator="greaterThan">
      <formula>$D$113</formula>
    </cfRule>
  </conditionalFormatting>
  <conditionalFormatting sqref="G6:G62">
    <cfRule type="expression" dxfId="126" priority="2">
      <formula>MOD(ROW(),2)=0</formula>
    </cfRule>
  </conditionalFormatting>
  <conditionalFormatting sqref="H6:H63">
    <cfRule type="expression" dxfId="125" priority="3">
      <formula>MOD(ROW(),2)=0</formula>
    </cfRule>
  </conditionalFormatting>
  <conditionalFormatting sqref="G63">
    <cfRule type="expression" dxfId="124" priority="1">
      <formula>MOD(ROW(),2)=0</formula>
    </cfRule>
  </conditionalFormatting>
  <dataValidations count="2">
    <dataValidation type="list" allowBlank="1" showInputMessage="1" showErrorMessage="1" promptTitle="Select Budget Category" sqref="C5" xr:uid="{31B6581A-AD68-4F14-AA9D-2588B80EEF75}">
      <formula1>$G$6:$G$62</formula1>
    </dataValidation>
    <dataValidation type="list" allowBlank="1" showInputMessage="1" showErrorMessage="1" promptTitle="Select Budget Category" sqref="C6:C111" xr:uid="{B0EFB6A7-6732-40DA-9F75-1D44940A8959}">
      <formula1>$G$6:$G$63</formula1>
    </dataValidation>
  </dataValidations>
  <hyperlinks>
    <hyperlink ref="C4" location="'Budget Category'!A1" display="Budget Category" xr:uid="{EB4A3A74-5CE8-4AA7-B20A-E610BCF40EF0}"/>
  </hyperlinks>
  <pageMargins left="0.7" right="0.7" top="0.75" bottom="0.75" header="0.3" footer="0.3"/>
  <pageSetup orientation="landscape"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8" id="{538FF48E-FC4F-445E-B7B3-1C3CE6837135}">
            <xm:f>H67&lt;'Amend#2 Equitable Share'!K12:M12</xm:f>
            <x14:dxf>
              <fill>
                <patternFill>
                  <bgColor rgb="FFFFFF00"/>
                </patternFill>
              </fill>
            </x14:dxf>
          </x14:cfRule>
          <x14:cfRule type="expression" priority="9" id="{CFCDC254-638A-4FC5-B8F3-A801FC8D2E91}">
            <xm:f>H67&gt;'Amend#2 Equitable Share'!K12:M12</xm:f>
            <x14:dxf>
              <fill>
                <patternFill>
                  <bgColor rgb="FFFF0000"/>
                </patternFill>
              </fill>
            </x14:dxf>
          </x14:cfRule>
          <x14:cfRule type="expression" priority="10" id="{8E175DDE-37DE-403E-B739-298A5EABDDAA}">
            <xm:f>H67='Amend#2 Equitable Share'!K12:M12</xm:f>
            <x14:dxf>
              <fill>
                <patternFill>
                  <bgColor rgb="FF92D050"/>
                </patternFill>
              </fill>
            </x14:dxf>
          </x14:cfRule>
          <xm:sqref>H67:H96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Please choose NPS from list." xr:uid="{C55C51A2-C799-4C46-8A10-F8212774B71A}">
          <x14:formula1>
            <xm:f>'Equitable Share'!$D$12:$D$55</xm:f>
          </x14:formula1>
          <xm:sqref>A6:A111</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1E40C-E2AE-49B6-B235-3760D0056128}">
  <sheetPr codeName="Sheet19">
    <tabColor rgb="FF009999"/>
  </sheetPr>
  <dimension ref="A1:M74"/>
  <sheetViews>
    <sheetView showGridLines="0" zoomScaleNormal="100" workbookViewId="0">
      <selection activeCell="C4" sqref="C4:D4"/>
    </sheetView>
  </sheetViews>
  <sheetFormatPr defaultColWidth="8.88671875" defaultRowHeight="14.4" x14ac:dyDescent="0.3"/>
  <cols>
    <col min="1" max="1" width="61" style="14" customWidth="1"/>
    <col min="2" max="2" width="12.5546875" style="53" bestFit="1" customWidth="1"/>
    <col min="3" max="3" width="32.33203125" style="14" customWidth="1"/>
    <col min="4" max="4" width="15.33203125" style="53" customWidth="1"/>
    <col min="5" max="5" width="16.44140625" style="14" customWidth="1"/>
    <col min="6" max="7" width="2.109375" style="14" customWidth="1"/>
    <col min="8" max="8" width="46.5546875" style="14" customWidth="1"/>
    <col min="9" max="9" width="17.5546875" style="14" customWidth="1"/>
    <col min="10" max="16384" width="8.88671875" style="14"/>
  </cols>
  <sheetData>
    <row r="1" spans="1:13" ht="43.2" customHeight="1" thickBot="1" x14ac:dyDescent="0.35">
      <c r="A1" s="748" t="s">
        <v>420</v>
      </c>
      <c r="B1" s="749"/>
      <c r="C1" s="749"/>
      <c r="D1" s="749"/>
      <c r="E1" s="749"/>
      <c r="F1" s="749"/>
      <c r="G1" s="749"/>
      <c r="H1" s="749"/>
      <c r="I1" s="750"/>
    </row>
    <row r="2" spans="1:13" ht="14.4" customHeight="1" x14ac:dyDescent="0.3">
      <c r="A2" s="547" t="s">
        <v>421</v>
      </c>
      <c r="B2" s="548"/>
      <c r="C2" s="548"/>
      <c r="D2" s="548"/>
      <c r="E2" s="548"/>
      <c r="F2" s="548"/>
      <c r="G2" s="548"/>
      <c r="H2" s="548"/>
      <c r="I2" s="549"/>
    </row>
    <row r="3" spans="1:13" s="41" customFormat="1" ht="14.4" customHeight="1" thickBot="1" x14ac:dyDescent="0.35">
      <c r="A3" s="550"/>
      <c r="B3" s="551"/>
      <c r="C3" s="551"/>
      <c r="D3" s="551"/>
      <c r="E3" s="551"/>
      <c r="F3" s="551"/>
      <c r="G3" s="551"/>
      <c r="H3" s="551"/>
      <c r="I3" s="552"/>
    </row>
    <row r="4" spans="1:13" s="41" customFormat="1" ht="14.4" customHeight="1" thickBot="1" x14ac:dyDescent="0.4">
      <c r="A4" s="42" t="s">
        <v>32</v>
      </c>
      <c r="B4" s="43" t="s">
        <v>135</v>
      </c>
      <c r="C4" s="258" t="s">
        <v>33</v>
      </c>
      <c r="D4" s="44"/>
      <c r="E4" s="158" t="s">
        <v>34</v>
      </c>
      <c r="F4" s="45"/>
      <c r="G4" s="45"/>
      <c r="H4" s="45"/>
      <c r="I4" s="45"/>
      <c r="J4" s="45"/>
      <c r="K4" s="45"/>
      <c r="L4" s="45"/>
      <c r="M4" s="45"/>
    </row>
    <row r="5" spans="1:13" ht="14.4" customHeight="1" thickBot="1" x14ac:dyDescent="0.4">
      <c r="A5" s="46" t="s">
        <v>136</v>
      </c>
      <c r="B5" s="47" t="s">
        <v>137</v>
      </c>
      <c r="C5" s="557" t="s">
        <v>81</v>
      </c>
      <c r="D5" s="558"/>
      <c r="E5" s="48" t="s">
        <v>76</v>
      </c>
      <c r="H5" s="6" t="s">
        <v>66</v>
      </c>
      <c r="I5" s="7" t="s">
        <v>34</v>
      </c>
    </row>
    <row r="6" spans="1:13" x14ac:dyDescent="0.3">
      <c r="A6" s="136"/>
      <c r="B6" s="219"/>
      <c r="C6" s="553"/>
      <c r="D6" s="554"/>
      <c r="E6" s="65"/>
      <c r="H6" s="8" t="s">
        <v>81</v>
      </c>
      <c r="I6" s="9">
        <f>SUMIF($C$6:$C$35,"Instruction: Salary (Cert./Non Cert.)", $E$6:$E$35)</f>
        <v>0</v>
      </c>
    </row>
    <row r="7" spans="1:13" x14ac:dyDescent="0.3">
      <c r="A7" s="55"/>
      <c r="B7" s="191"/>
      <c r="C7" s="555"/>
      <c r="D7" s="556"/>
      <c r="E7" s="66"/>
      <c r="H7" s="8" t="s">
        <v>82</v>
      </c>
      <c r="I7" s="9">
        <f>SUMIF($C$6:$C$35,"Instruction: Benefits (Cert./Non Cert.)", $E$6:$E$35)</f>
        <v>0</v>
      </c>
    </row>
    <row r="8" spans="1:13" ht="14.4" customHeight="1" x14ac:dyDescent="0.3">
      <c r="A8" s="57"/>
      <c r="B8" s="58"/>
      <c r="C8" s="559"/>
      <c r="D8" s="560"/>
      <c r="E8" s="67"/>
      <c r="H8" s="10" t="s">
        <v>35</v>
      </c>
      <c r="I8" s="9">
        <f>SUMIF($C$6:$C$35,"Instruction: Professional Services", $E$6:$E$35)</f>
        <v>0</v>
      </c>
    </row>
    <row r="9" spans="1:13" ht="14.4" customHeight="1" x14ac:dyDescent="0.3">
      <c r="A9" s="131"/>
      <c r="B9" s="56"/>
      <c r="C9" s="555"/>
      <c r="D9" s="556"/>
      <c r="E9" s="68"/>
      <c r="H9" s="10" t="s">
        <v>36</v>
      </c>
      <c r="I9" s="9">
        <f>SUMIF($C$6:$C$35,"Instruction: Rentals", $E$6:$E$35)</f>
        <v>0</v>
      </c>
    </row>
    <row r="10" spans="1:13" ht="14.4" customHeight="1" x14ac:dyDescent="0.3">
      <c r="A10" s="132"/>
      <c r="B10" s="58"/>
      <c r="C10" s="559"/>
      <c r="D10" s="560"/>
      <c r="E10" s="67"/>
      <c r="H10" s="10" t="s">
        <v>37</v>
      </c>
      <c r="I10" s="9">
        <f>SUMIF($C$6:$C$35,"Instruction: Other Purchased Services", $E$6:$E$35)</f>
        <v>0</v>
      </c>
    </row>
    <row r="11" spans="1:13" ht="14.4" customHeight="1" x14ac:dyDescent="0.3">
      <c r="A11" s="131"/>
      <c r="B11" s="56"/>
      <c r="C11" s="555"/>
      <c r="D11" s="556"/>
      <c r="E11" s="68"/>
      <c r="H11" s="10" t="s">
        <v>38</v>
      </c>
      <c r="I11" s="9">
        <f>SUMIF($C$6:$C$35,"Instruction: General Supplies", $E$6:$E$35)</f>
        <v>0</v>
      </c>
    </row>
    <row r="12" spans="1:13" ht="14.4" customHeight="1" x14ac:dyDescent="0.3">
      <c r="A12" s="132"/>
      <c r="B12" s="58"/>
      <c r="C12" s="559"/>
      <c r="D12" s="560"/>
      <c r="E12" s="67"/>
      <c r="H12" s="10" t="s">
        <v>39</v>
      </c>
      <c r="I12" s="9">
        <f>SUMIF($C$6:$C$35,"Instruction: Property", $E$6:$E$35)</f>
        <v>0</v>
      </c>
    </row>
    <row r="13" spans="1:13" ht="14.4" customHeight="1" x14ac:dyDescent="0.3">
      <c r="A13" s="131"/>
      <c r="B13" s="56"/>
      <c r="C13" s="555"/>
      <c r="D13" s="556"/>
      <c r="E13" s="68"/>
      <c r="H13" s="10"/>
      <c r="I13" s="9"/>
    </row>
    <row r="14" spans="1:13" ht="14.4" customHeight="1" x14ac:dyDescent="0.3">
      <c r="A14" s="132"/>
      <c r="B14" s="58"/>
      <c r="C14" s="559"/>
      <c r="D14" s="560"/>
      <c r="E14" s="67"/>
      <c r="H14" s="8" t="s">
        <v>83</v>
      </c>
      <c r="I14" s="9">
        <f>SUMIF($C$6:$C$35,"Support Services (Student): Salary (Cert./Non Cert.)", $E$6:$E$35)</f>
        <v>0</v>
      </c>
    </row>
    <row r="15" spans="1:13" ht="14.4" customHeight="1" x14ac:dyDescent="0.3">
      <c r="A15" s="131"/>
      <c r="B15" s="56"/>
      <c r="C15" s="555"/>
      <c r="D15" s="556"/>
      <c r="E15" s="68"/>
      <c r="H15" s="8" t="s">
        <v>84</v>
      </c>
      <c r="I15" s="9">
        <f>SUMIF($C$6:$C$35,"Support Services (Student): Benefits (Cert./Non Cert.)", $E$6:$E$35)</f>
        <v>0</v>
      </c>
    </row>
    <row r="16" spans="1:13" x14ac:dyDescent="0.3">
      <c r="A16" s="132"/>
      <c r="B16" s="58"/>
      <c r="C16" s="559"/>
      <c r="D16" s="560"/>
      <c r="E16" s="67"/>
      <c r="H16" s="10" t="s">
        <v>40</v>
      </c>
      <c r="I16" s="9">
        <f>SUMIF($C$6:$C$35,"Support Services (Student): Professional Services", $E$6:$E$35)</f>
        <v>0</v>
      </c>
    </row>
    <row r="17" spans="1:9" x14ac:dyDescent="0.3">
      <c r="A17" s="131"/>
      <c r="B17" s="56"/>
      <c r="C17" s="555"/>
      <c r="D17" s="556"/>
      <c r="E17" s="68"/>
      <c r="H17" s="10" t="s">
        <v>41</v>
      </c>
      <c r="I17" s="9">
        <f>SUMIF($C$6:$C$35,"Support Services (Student): Rentals", $E$6:$E$35)</f>
        <v>0</v>
      </c>
    </row>
    <row r="18" spans="1:9" x14ac:dyDescent="0.3">
      <c r="A18" s="132"/>
      <c r="B18" s="58"/>
      <c r="C18" s="559"/>
      <c r="D18" s="560"/>
      <c r="E18" s="67"/>
      <c r="H18" s="10" t="s">
        <v>42</v>
      </c>
      <c r="I18" s="9">
        <f>SUMIF($C$6:$C$35,"Support Services (Student): Other Purchased Services", $E$6:$E$35)</f>
        <v>0</v>
      </c>
    </row>
    <row r="19" spans="1:9" x14ac:dyDescent="0.3">
      <c r="A19" s="131"/>
      <c r="B19" s="56"/>
      <c r="C19" s="555"/>
      <c r="D19" s="556"/>
      <c r="E19" s="68"/>
      <c r="H19" s="10" t="s">
        <v>43</v>
      </c>
      <c r="I19" s="9">
        <f>SUMIF($C$6:$C$35,"Support Services (Student): General Supplies", $E$6:$E$35)</f>
        <v>0</v>
      </c>
    </row>
    <row r="20" spans="1:9" x14ac:dyDescent="0.3">
      <c r="A20" s="132"/>
      <c r="B20" s="58"/>
      <c r="C20" s="559"/>
      <c r="D20" s="560"/>
      <c r="E20" s="67"/>
      <c r="H20" s="10" t="s">
        <v>44</v>
      </c>
      <c r="I20" s="9">
        <f>SUMIF($C$6:$C$35,"Support Services (Student): Property", $E$6:$E$35)</f>
        <v>0</v>
      </c>
    </row>
    <row r="21" spans="1:9" x14ac:dyDescent="0.3">
      <c r="A21" s="131"/>
      <c r="B21" s="56"/>
      <c r="C21" s="555"/>
      <c r="D21" s="556"/>
      <c r="E21" s="68"/>
      <c r="H21" s="10"/>
      <c r="I21" s="9"/>
    </row>
    <row r="22" spans="1:9" x14ac:dyDescent="0.3">
      <c r="A22" s="132"/>
      <c r="B22" s="58"/>
      <c r="C22" s="559"/>
      <c r="D22" s="560"/>
      <c r="E22" s="67"/>
      <c r="H22" s="8" t="s">
        <v>85</v>
      </c>
      <c r="I22" s="9">
        <f>SUMIF($C$6:$C$35,"Improvement of Instruction: Salary (Cert./Non Cert.)", $E$6:$E$35)</f>
        <v>0</v>
      </c>
    </row>
    <row r="23" spans="1:9" x14ac:dyDescent="0.3">
      <c r="A23" s="131"/>
      <c r="B23" s="56"/>
      <c r="C23" s="555"/>
      <c r="D23" s="556"/>
      <c r="E23" s="68"/>
      <c r="H23" s="8" t="s">
        <v>86</v>
      </c>
      <c r="I23" s="9">
        <f>SUMIF($C$6:$C$35,"Improvement of Instruction: Benefits (Cert./Non Cert.)", $E$6:$E$35)</f>
        <v>0</v>
      </c>
    </row>
    <row r="24" spans="1:9" x14ac:dyDescent="0.3">
      <c r="A24" s="132"/>
      <c r="B24" s="58"/>
      <c r="C24" s="559"/>
      <c r="D24" s="560"/>
      <c r="E24" s="67"/>
      <c r="H24" s="10" t="s">
        <v>45</v>
      </c>
      <c r="I24" s="9">
        <f>SUMIF($C$6:$C$35,"Improvement of Instruction: Professional Services", $E$6:$E$35)</f>
        <v>0</v>
      </c>
    </row>
    <row r="25" spans="1:9" x14ac:dyDescent="0.3">
      <c r="A25" s="131"/>
      <c r="B25" s="56"/>
      <c r="C25" s="555"/>
      <c r="D25" s="556"/>
      <c r="E25" s="68"/>
      <c r="H25" s="10" t="s">
        <v>46</v>
      </c>
      <c r="I25" s="9">
        <f>SUMIF($C$6:$C$35,"Improvement of Instruction: Rentals", $E$6:$E$35)</f>
        <v>0</v>
      </c>
    </row>
    <row r="26" spans="1:9" x14ac:dyDescent="0.3">
      <c r="A26" s="132"/>
      <c r="B26" s="58"/>
      <c r="C26" s="559"/>
      <c r="D26" s="560"/>
      <c r="E26" s="67"/>
      <c r="H26" s="10" t="s">
        <v>47</v>
      </c>
      <c r="I26" s="9">
        <f>SUMIF($C$6:$C$35,"Improvement of Instruction: Other Purchased Services", $E$6:$E$35)</f>
        <v>0</v>
      </c>
    </row>
    <row r="27" spans="1:9" x14ac:dyDescent="0.3">
      <c r="A27" s="131"/>
      <c r="B27" s="56"/>
      <c r="C27" s="555"/>
      <c r="D27" s="556"/>
      <c r="E27" s="68"/>
      <c r="H27" s="10" t="s">
        <v>48</v>
      </c>
      <c r="I27" s="9">
        <f>SUMIF($C$6:$C$35,"Improvement of Instruction: General Supplies", $E$6:$E$35)</f>
        <v>0</v>
      </c>
    </row>
    <row r="28" spans="1:9" x14ac:dyDescent="0.3">
      <c r="A28" s="132"/>
      <c r="B28" s="58"/>
      <c r="C28" s="559"/>
      <c r="D28" s="560"/>
      <c r="E28" s="67"/>
      <c r="H28" s="10" t="s">
        <v>49</v>
      </c>
      <c r="I28" s="9">
        <f>SUMIF($C$6:$C$35,"Improvement of Instruction: Property", $E$6:$E$35)</f>
        <v>0</v>
      </c>
    </row>
    <row r="29" spans="1:9" x14ac:dyDescent="0.3">
      <c r="A29" s="131"/>
      <c r="B29" s="56"/>
      <c r="C29" s="555"/>
      <c r="D29" s="556"/>
      <c r="E29" s="68"/>
      <c r="H29" s="10"/>
      <c r="I29" s="9"/>
    </row>
    <row r="30" spans="1:9" x14ac:dyDescent="0.3">
      <c r="A30" s="132"/>
      <c r="B30" s="58"/>
      <c r="C30" s="559"/>
      <c r="D30" s="560"/>
      <c r="E30" s="67"/>
      <c r="H30" s="8" t="s">
        <v>402</v>
      </c>
      <c r="I30" s="9">
        <f>SUMIF($C$6:$C$35,"Other Support Services-Admin: Salary (Cert./Non Cert.)", $E$6:$E$35)</f>
        <v>0</v>
      </c>
    </row>
    <row r="31" spans="1:9" x14ac:dyDescent="0.3">
      <c r="A31" s="131"/>
      <c r="B31" s="56"/>
      <c r="C31" s="555"/>
      <c r="D31" s="556"/>
      <c r="E31" s="68"/>
      <c r="H31" s="8" t="s">
        <v>403</v>
      </c>
      <c r="I31" s="9">
        <f>SUMIF($C$6:$C$35,"Other Support Services-Admin: Benefits (Cert./Non Cert.)", $E$6:$E$35)</f>
        <v>0</v>
      </c>
    </row>
    <row r="32" spans="1:9" x14ac:dyDescent="0.3">
      <c r="A32" s="132"/>
      <c r="B32" s="58"/>
      <c r="C32" s="559"/>
      <c r="D32" s="560"/>
      <c r="E32" s="67"/>
      <c r="H32" s="10" t="s">
        <v>404</v>
      </c>
      <c r="I32" s="9">
        <f>SUMIF($C$6:$C$35,"Other Support Services-Admin: Professional Services", $E$6:$E$35)</f>
        <v>0</v>
      </c>
    </row>
    <row r="33" spans="1:9" x14ac:dyDescent="0.3">
      <c r="A33" s="131"/>
      <c r="B33" s="56"/>
      <c r="C33" s="555"/>
      <c r="D33" s="556"/>
      <c r="E33" s="68"/>
      <c r="H33" s="10" t="s">
        <v>405</v>
      </c>
      <c r="I33" s="9">
        <f>SUMIF($C$6:$C$35,"Other Support Services-Admin: Rentals", $E$6:$E$35)</f>
        <v>0</v>
      </c>
    </row>
    <row r="34" spans="1:9" x14ac:dyDescent="0.3">
      <c r="A34" s="132"/>
      <c r="B34" s="58"/>
      <c r="C34" s="559"/>
      <c r="D34" s="560"/>
      <c r="E34" s="67"/>
      <c r="H34" s="10" t="s">
        <v>406</v>
      </c>
      <c r="I34" s="9">
        <f>SUMIF($C$6:$C$35,"Other Support Services-Admin: Other Purchased Services", $E$6:$E$35)</f>
        <v>0</v>
      </c>
    </row>
    <row r="35" spans="1:9" ht="15" thickBot="1" x14ac:dyDescent="0.35">
      <c r="A35" s="131"/>
      <c r="B35" s="56"/>
      <c r="C35" s="555"/>
      <c r="D35" s="556"/>
      <c r="E35" s="68"/>
      <c r="H35" s="10" t="s">
        <v>407</v>
      </c>
      <c r="I35" s="9">
        <f>SUMIF($C$6:$C$35,"Other Support Services-Admin: General Supplies", $E$6:$E$35)</f>
        <v>0</v>
      </c>
    </row>
    <row r="36" spans="1:9" ht="14.4" customHeight="1" thickTop="1" x14ac:dyDescent="0.35">
      <c r="A36" s="49"/>
      <c r="B36" s="50"/>
      <c r="C36" s="51"/>
      <c r="D36" s="52" t="s">
        <v>77</v>
      </c>
      <c r="E36" s="163">
        <f>SUM(E6:E35)</f>
        <v>0</v>
      </c>
      <c r="H36" s="10" t="s">
        <v>408</v>
      </c>
      <c r="I36" s="9">
        <f>SUMIF($C$6:$C$35,"Other Support Services-Admin: Property", $E$6:$E$35)</f>
        <v>0</v>
      </c>
    </row>
    <row r="37" spans="1:9" ht="14.4" customHeight="1" x14ac:dyDescent="0.3">
      <c r="C37" s="561" t="s">
        <v>93</v>
      </c>
      <c r="D37" s="562"/>
      <c r="E37" s="164" t="str">
        <f>'Amend#2 Overview'!G14</f>
        <v/>
      </c>
      <c r="H37" s="10"/>
      <c r="I37" s="9"/>
    </row>
    <row r="38" spans="1:9" x14ac:dyDescent="0.3">
      <c r="C38" s="563" t="s">
        <v>400</v>
      </c>
      <c r="D38" s="564"/>
      <c r="E38" s="54" t="str">
        <f>IFERROR(E37-E36,"")</f>
        <v/>
      </c>
      <c r="H38" s="8" t="s">
        <v>87</v>
      </c>
      <c r="I38" s="9">
        <f>SUMIF($C$6:$C$35,"Operations and Maintenance: Salary (Cert./Non Cert.)", $E$6:$E$35)</f>
        <v>0</v>
      </c>
    </row>
    <row r="39" spans="1:9" x14ac:dyDescent="0.3">
      <c r="H39" s="8" t="s">
        <v>88</v>
      </c>
      <c r="I39" s="9">
        <f>SUMIF($C$6:$C$35,"Operations and Maintenance: Benefits (Cert./Non Cert.)", $E$6:$E$35)</f>
        <v>0</v>
      </c>
    </row>
    <row r="40" spans="1:9" x14ac:dyDescent="0.3">
      <c r="H40" s="10" t="s">
        <v>50</v>
      </c>
      <c r="I40" s="9">
        <f>SUMIF($C$6:$C$35,"Operations and Maintenance: Professional Services", $E$6:$E$35)</f>
        <v>0</v>
      </c>
    </row>
    <row r="41" spans="1:9" x14ac:dyDescent="0.3">
      <c r="H41" s="10" t="s">
        <v>51</v>
      </c>
      <c r="I41" s="9">
        <f>SUMIF($C$6:$C$35,"Operations and Maintenance: Rentals", $E$6:$E$35)</f>
        <v>0</v>
      </c>
    </row>
    <row r="42" spans="1:9" x14ac:dyDescent="0.3">
      <c r="H42" s="10" t="s">
        <v>52</v>
      </c>
      <c r="I42" s="9">
        <f>SUMIF($C$6:$C$35,"Operations and Maintenance: Other Purchased Services", $E$6:$E$35)</f>
        <v>0</v>
      </c>
    </row>
    <row r="43" spans="1:9" x14ac:dyDescent="0.3">
      <c r="H43" s="10" t="s">
        <v>53</v>
      </c>
      <c r="I43" s="9">
        <f>SUMIF($C$6:$C$35,"Operations and Maintenance: General Supplies", $E$6:$E$35)</f>
        <v>0</v>
      </c>
    </row>
    <row r="44" spans="1:9" x14ac:dyDescent="0.3">
      <c r="H44" s="10" t="s">
        <v>54</v>
      </c>
      <c r="I44" s="9">
        <f>SUMIF($C$6:$C$35,"Operations and Maintenance: Property", $E$6:$E$35)</f>
        <v>0</v>
      </c>
    </row>
    <row r="45" spans="1:9" x14ac:dyDescent="0.3">
      <c r="H45" s="10"/>
      <c r="I45" s="9"/>
    </row>
    <row r="46" spans="1:9" x14ac:dyDescent="0.3">
      <c r="H46" s="8" t="s">
        <v>89</v>
      </c>
      <c r="I46" s="9">
        <f>SUMIF($C$6:$C$35,"Transportation: Salary (Cert./Non Cert.)", $E$6:$E$35)</f>
        <v>0</v>
      </c>
    </row>
    <row r="47" spans="1:9" x14ac:dyDescent="0.3">
      <c r="H47" s="8" t="s">
        <v>90</v>
      </c>
      <c r="I47" s="9">
        <f>SUMIF($C$6:$C$35,"Transportation: Benefits (Cert./Non Cert.)", $E$6:$E$35)</f>
        <v>0</v>
      </c>
    </row>
    <row r="48" spans="1:9" x14ac:dyDescent="0.3">
      <c r="H48" s="10" t="s">
        <v>55</v>
      </c>
      <c r="I48" s="9">
        <f>SUMIF($C$6:$C$35,"Transportation: Professional Services", $E$6:$E$35)</f>
        <v>0</v>
      </c>
    </row>
    <row r="49" spans="8:9" x14ac:dyDescent="0.3">
      <c r="H49" s="10" t="s">
        <v>56</v>
      </c>
      <c r="I49" s="9">
        <f>SUMIF($C$6:$C$35,"Transportation: Rentals", $E$6:$E$35)</f>
        <v>0</v>
      </c>
    </row>
    <row r="50" spans="8:9" x14ac:dyDescent="0.3">
      <c r="H50" s="10" t="s">
        <v>57</v>
      </c>
      <c r="I50" s="9">
        <f>SUMIF($C$6:$C$35,"Transportation: Other Purchased Services", $E$6:$E$35)</f>
        <v>0</v>
      </c>
    </row>
    <row r="51" spans="8:9" x14ac:dyDescent="0.3">
      <c r="H51" s="10" t="s">
        <v>58</v>
      </c>
      <c r="I51" s="9">
        <f>SUMIF($C$6:$C$35,"Transportation: General Supplies", $E$6:$E$35)</f>
        <v>0</v>
      </c>
    </row>
    <row r="52" spans="8:9" x14ac:dyDescent="0.3">
      <c r="H52" s="10" t="s">
        <v>59</v>
      </c>
      <c r="I52" s="9">
        <f>SUMIF($C$6:$C$35,"Transportation: Property", $E$6:$E$35)</f>
        <v>0</v>
      </c>
    </row>
    <row r="53" spans="8:9" x14ac:dyDescent="0.3">
      <c r="H53" s="10"/>
      <c r="I53" s="9"/>
    </row>
    <row r="54" spans="8:9" x14ac:dyDescent="0.3">
      <c r="H54" s="8" t="s">
        <v>91</v>
      </c>
      <c r="I54" s="9">
        <f>SUMIF($C$6:$C$35,"Community Services Operations: Salary (Cert./Non Cert.)", $E$6:$E$35)</f>
        <v>0</v>
      </c>
    </row>
    <row r="55" spans="8:9" x14ac:dyDescent="0.3">
      <c r="H55" s="8" t="s">
        <v>92</v>
      </c>
      <c r="I55" s="9">
        <f>SUMIF($C$6:$C$35,"Community Services Operations: Benefits (Cert./Non Cert.)", $E$6:$E$35)</f>
        <v>0</v>
      </c>
    </row>
    <row r="56" spans="8:9" x14ac:dyDescent="0.3">
      <c r="H56" s="10" t="s">
        <v>60</v>
      </c>
      <c r="I56" s="9">
        <f>SUMIF($C$6:$C$35,"Community Services Operations: Professional Services", $E$6:$E$35)</f>
        <v>0</v>
      </c>
    </row>
    <row r="57" spans="8:9" x14ac:dyDescent="0.3">
      <c r="H57" s="10" t="s">
        <v>61</v>
      </c>
      <c r="I57" s="9">
        <f>SUMIF($C$6:$C$35,"Community Services Operations: Rentals", $E$6:$E$35)</f>
        <v>0</v>
      </c>
    </row>
    <row r="58" spans="8:9" x14ac:dyDescent="0.3">
      <c r="H58" s="10" t="s">
        <v>62</v>
      </c>
      <c r="I58" s="9">
        <f>SUMIF($C$6:$C$35,"Community Services Operations: Other Purchased Services", $E$6:$E$35)</f>
        <v>0</v>
      </c>
    </row>
    <row r="59" spans="8:9" x14ac:dyDescent="0.3">
      <c r="H59" s="10" t="s">
        <v>63</v>
      </c>
      <c r="I59" s="9">
        <f>SUMIF($C$6:$C$35,"Community Services Operations: General Supplies", $E$6:$E$35)</f>
        <v>0</v>
      </c>
    </row>
    <row r="60" spans="8:9" x14ac:dyDescent="0.3">
      <c r="H60" s="10" t="s">
        <v>64</v>
      </c>
      <c r="I60" s="9">
        <f>SUMIF($C$6:$C$35,"Community Services Operations: Property", $E$6:$E$35)</f>
        <v>0</v>
      </c>
    </row>
    <row r="61" spans="8:9" x14ac:dyDescent="0.3">
      <c r="H61" s="10"/>
      <c r="I61" s="9"/>
    </row>
    <row r="62" spans="8:9" x14ac:dyDescent="0.3">
      <c r="H62" s="11" t="s">
        <v>65</v>
      </c>
      <c r="I62" s="9">
        <f>SUMIF($C$6:$C$35,"Indirect Cost Used", $E$6:$E$35)</f>
        <v>0</v>
      </c>
    </row>
    <row r="63" spans="8:9" x14ac:dyDescent="0.3">
      <c r="H63" s="184"/>
      <c r="I63" s="185"/>
    </row>
    <row r="64" spans="8:9" ht="15.6" x14ac:dyDescent="0.3">
      <c r="H64" s="165" t="s">
        <v>71</v>
      </c>
      <c r="I64" s="54">
        <f>((SUM(I6:I62))-I63)</f>
        <v>0</v>
      </c>
    </row>
    <row r="74" ht="14.4" customHeight="1" x14ac:dyDescent="0.3"/>
  </sheetData>
  <sheetProtection algorithmName="SHA-512" hashValue="swTytG3AD+5sqS+Xfx7pgm6Pc+wgSN7T2A3+1REx3R7ZQwg4kXDEndd9ZByajYF4TWaYG0rQFF9+7Q3VlZQDaQ==" saltValue="6c1NXNUi98gDRbRZ0l0nfQ==" spinCount="100000" sheet="1" selectLockedCells="1"/>
  <mergeCells count="35">
    <mergeCell ref="C35:D35"/>
    <mergeCell ref="C37:D37"/>
    <mergeCell ref="C38:D38"/>
    <mergeCell ref="C30:D30"/>
    <mergeCell ref="C31:D31"/>
    <mergeCell ref="C32:D32"/>
    <mergeCell ref="C33:D33"/>
    <mergeCell ref="C34:D34"/>
    <mergeCell ref="C25:D25"/>
    <mergeCell ref="C26:D26"/>
    <mergeCell ref="C27:D27"/>
    <mergeCell ref="C28:D28"/>
    <mergeCell ref="C29:D29"/>
    <mergeCell ref="C20:D20"/>
    <mergeCell ref="C21:D21"/>
    <mergeCell ref="C22:D22"/>
    <mergeCell ref="C23:D23"/>
    <mergeCell ref="C24:D24"/>
    <mergeCell ref="C15:D15"/>
    <mergeCell ref="C16:D16"/>
    <mergeCell ref="C17:D17"/>
    <mergeCell ref="C18:D18"/>
    <mergeCell ref="C19:D19"/>
    <mergeCell ref="A1:I1"/>
    <mergeCell ref="A2:I3"/>
    <mergeCell ref="C5:D5"/>
    <mergeCell ref="C6:D6"/>
    <mergeCell ref="C7:D7"/>
    <mergeCell ref="C13:D13"/>
    <mergeCell ref="C14:D14"/>
    <mergeCell ref="C8:D8"/>
    <mergeCell ref="C9:D9"/>
    <mergeCell ref="C10:D10"/>
    <mergeCell ref="C11:D11"/>
    <mergeCell ref="C12:D12"/>
  </mergeCells>
  <conditionalFormatting sqref="H6:I63">
    <cfRule type="expression" dxfId="109" priority="8">
      <formula>MOD(ROW(),2)=0</formula>
    </cfRule>
  </conditionalFormatting>
  <conditionalFormatting sqref="E36">
    <cfRule type="cellIs" dxfId="108" priority="2" operator="lessThan">
      <formula>$E$37</formula>
    </cfRule>
    <cfRule type="cellIs" dxfId="107" priority="3" operator="greaterThan">
      <formula>$E$37</formula>
    </cfRule>
    <cfRule type="cellIs" dxfId="106" priority="4" operator="equal">
      <formula>$E$37</formula>
    </cfRule>
  </conditionalFormatting>
  <dataValidations count="3">
    <dataValidation type="list" allowBlank="1" showInputMessage="1" showErrorMessage="1" promptTitle="Select Budget Category" sqref="C5" xr:uid="{9B2C7967-D8F3-44DA-B537-5BCD3EA4CCE7}">
      <formula1>$H$6:$H$62</formula1>
    </dataValidation>
    <dataValidation type="list" allowBlank="1" showInputMessage="1" showErrorMessage="1" promptTitle="Select Budget Category" sqref="C6:C35" xr:uid="{47566CA8-6D40-488E-A97B-0D41EF4C5AA1}">
      <formula1>$H$6:$H$63</formula1>
    </dataValidation>
    <dataValidation type="list" allowBlank="1" showInputMessage="1" showErrorMessage="1" sqref="B6:B35" xr:uid="{3C5ED5C7-443A-4916-8073-6FE364A04FAB}">
      <formula1>"1,2,3, Indirect Cost, Admin"</formula1>
    </dataValidation>
  </dataValidations>
  <hyperlinks>
    <hyperlink ref="C4" location="'Budget Category'!A1" display="Budget Category" xr:uid="{7B7EC597-0523-46FB-ACC6-0E4365824619}"/>
  </hyperlinks>
  <pageMargins left="0.7" right="0.7" top="0.75" bottom="0.75" header="0.3" footer="0.3"/>
  <pageSetup orientation="landscape"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B085-CFB3-438C-9E7E-5BCE5EA75406}">
  <sheetPr codeName="Sheet20">
    <tabColor rgb="FF009999"/>
  </sheetPr>
  <dimension ref="A1:N30"/>
  <sheetViews>
    <sheetView showGridLines="0" workbookViewId="0">
      <selection activeCell="C4" sqref="C4:D4"/>
    </sheetView>
  </sheetViews>
  <sheetFormatPr defaultColWidth="8.88671875" defaultRowHeight="14.4" x14ac:dyDescent="0.3"/>
  <cols>
    <col min="1" max="1" width="17.44140625" style="78" customWidth="1"/>
    <col min="2" max="2" width="23.88671875" style="78" customWidth="1"/>
    <col min="3" max="3" width="4.6640625" style="78" customWidth="1"/>
    <col min="4" max="4" width="11.88671875" style="78" customWidth="1"/>
    <col min="5" max="5" width="12.33203125" style="78" customWidth="1"/>
    <col min="6" max="6" width="4.88671875" style="78" customWidth="1"/>
    <col min="7" max="7" width="15.88671875" style="78" customWidth="1"/>
    <col min="8" max="8" width="11.88671875" style="78" customWidth="1"/>
    <col min="9" max="9" width="12.109375" style="78" customWidth="1"/>
    <col min="10" max="10" width="11.44140625" style="78" customWidth="1"/>
    <col min="11" max="11" width="12.5546875" style="78" customWidth="1"/>
    <col min="12" max="12" width="14" style="78" customWidth="1"/>
    <col min="13" max="13" width="15" style="78" customWidth="1"/>
    <col min="14" max="16384" width="8.88671875" style="78"/>
  </cols>
  <sheetData>
    <row r="1" spans="1:13" ht="43.2" customHeight="1" x14ac:dyDescent="0.3">
      <c r="A1" s="743" t="s">
        <v>428</v>
      </c>
      <c r="B1" s="743"/>
      <c r="C1" s="743"/>
      <c r="D1" s="743"/>
      <c r="E1" s="743"/>
      <c r="F1" s="743"/>
      <c r="G1" s="743"/>
      <c r="H1" s="743"/>
      <c r="I1" s="743"/>
      <c r="J1" s="743"/>
      <c r="K1" s="743"/>
      <c r="L1" s="743"/>
      <c r="M1" s="743"/>
    </row>
    <row r="2" spans="1:13" ht="15" customHeight="1" x14ac:dyDescent="0.3">
      <c r="A2" s="565" t="s">
        <v>0</v>
      </c>
      <c r="B2" s="565"/>
      <c r="C2" s="565"/>
      <c r="D2" s="565"/>
      <c r="E2" s="565"/>
      <c r="F2" s="565"/>
      <c r="G2" s="565"/>
      <c r="H2" s="565"/>
      <c r="I2" s="565"/>
      <c r="J2" s="565"/>
      <c r="K2" s="565"/>
      <c r="L2" s="565"/>
      <c r="M2" s="565"/>
    </row>
    <row r="3" spans="1:13" x14ac:dyDescent="0.3">
      <c r="A3" s="566" t="s">
        <v>70</v>
      </c>
      <c r="B3" s="566"/>
      <c r="C3" s="572">
        <v>110</v>
      </c>
      <c r="D3" s="573"/>
      <c r="E3" s="572" t="s">
        <v>1</v>
      </c>
      <c r="F3" s="573"/>
      <c r="G3" s="79" t="s">
        <v>2</v>
      </c>
      <c r="H3" s="79">
        <v>440</v>
      </c>
      <c r="I3" s="79" t="s">
        <v>3</v>
      </c>
      <c r="J3" s="79" t="s">
        <v>4</v>
      </c>
      <c r="K3" s="79" t="s">
        <v>5</v>
      </c>
      <c r="L3" s="79">
        <v>910</v>
      </c>
      <c r="M3" s="233"/>
    </row>
    <row r="4" spans="1:13" ht="14.4" customHeight="1" x14ac:dyDescent="0.3">
      <c r="A4" s="567" t="s">
        <v>6</v>
      </c>
      <c r="B4" s="568" t="s">
        <v>7</v>
      </c>
      <c r="C4" s="569" t="s">
        <v>8</v>
      </c>
      <c r="D4" s="569"/>
      <c r="E4" s="569" t="s">
        <v>9</v>
      </c>
      <c r="F4" s="569"/>
      <c r="G4" s="570" t="s">
        <v>10</v>
      </c>
      <c r="H4" s="570" t="s">
        <v>11</v>
      </c>
      <c r="I4" s="570" t="s">
        <v>12</v>
      </c>
      <c r="J4" s="570" t="s">
        <v>13</v>
      </c>
      <c r="K4" s="570" t="s">
        <v>14</v>
      </c>
      <c r="L4" s="570" t="s">
        <v>15</v>
      </c>
      <c r="M4" s="571" t="s">
        <v>16</v>
      </c>
    </row>
    <row r="5" spans="1:13" ht="27" customHeight="1" x14ac:dyDescent="0.3">
      <c r="A5" s="567"/>
      <c r="B5" s="568"/>
      <c r="C5" s="574" t="s">
        <v>79</v>
      </c>
      <c r="D5" s="575"/>
      <c r="E5" s="574" t="s">
        <v>80</v>
      </c>
      <c r="F5" s="575"/>
      <c r="G5" s="570"/>
      <c r="H5" s="570"/>
      <c r="I5" s="570"/>
      <c r="J5" s="570"/>
      <c r="K5" s="570"/>
      <c r="L5" s="570"/>
      <c r="M5" s="571"/>
    </row>
    <row r="6" spans="1:13" x14ac:dyDescent="0.3">
      <c r="A6" s="81">
        <v>11000</v>
      </c>
      <c r="B6" s="81" t="s">
        <v>17</v>
      </c>
      <c r="C6" s="751">
        <f>'Amend#2 LEA Activities'!I6+'Amend#2 NPS Activities'!H6</f>
        <v>0</v>
      </c>
      <c r="D6" s="752"/>
      <c r="E6" s="751">
        <f>'Amend#2 LEA Activities'!I7+'Amend#2 NPS Activities'!H7</f>
        <v>0</v>
      </c>
      <c r="F6" s="752"/>
      <c r="G6" s="244">
        <f>'Amend#2 LEA Activities'!I8+'Amend#2 NPS Activities'!H8</f>
        <v>0</v>
      </c>
      <c r="H6" s="244">
        <f>'Amend#2 LEA Activities'!I9+'Amend#2 NPS Activities'!H9</f>
        <v>0</v>
      </c>
      <c r="I6" s="244">
        <f>'Amend#2 LEA Activities'!I10+'Amend#2 NPS Activities'!H10</f>
        <v>0</v>
      </c>
      <c r="J6" s="244">
        <f>'Amend#2 LEA Activities'!I11+'Amend#2 NPS Activities'!H11</f>
        <v>0</v>
      </c>
      <c r="K6" s="244">
        <f>'Amend#2 LEA Activities'!I12+'Amend#2 NPS Activities'!H12</f>
        <v>0</v>
      </c>
      <c r="L6" s="244">
        <f>'Amend#2 LEA Activities'!I13+'Amend#2 NPS Activities'!H13</f>
        <v>0</v>
      </c>
      <c r="M6" s="244">
        <f t="shared" ref="M6:M13" si="0">SUM(C6:L6)</f>
        <v>0</v>
      </c>
    </row>
    <row r="7" spans="1:13" x14ac:dyDescent="0.3">
      <c r="A7" s="81">
        <v>21000</v>
      </c>
      <c r="B7" s="81" t="s">
        <v>18</v>
      </c>
      <c r="C7" s="578">
        <f>'Amend#2 LEA Activities'!I14+'Amend#2 NPS Activities'!H14</f>
        <v>0</v>
      </c>
      <c r="D7" s="579"/>
      <c r="E7" s="578">
        <f>'Amend#2 LEA Activities'!I15+'Amend#2 NPS Activities'!H15</f>
        <v>0</v>
      </c>
      <c r="F7" s="579"/>
      <c r="G7" s="82">
        <f>'Amend#2 LEA Activities'!I16+'Amend#2 NPS Activities'!H16</f>
        <v>0</v>
      </c>
      <c r="H7" s="82">
        <f>'Amend#2 LEA Activities'!I17+'Amend#2 NPS Activities'!H17</f>
        <v>0</v>
      </c>
      <c r="I7" s="82">
        <f>'Amend#2 LEA Activities'!I18+'Amend#2 NPS Activities'!H18</f>
        <v>0</v>
      </c>
      <c r="J7" s="82">
        <f>'Amend#2 LEA Activities'!I19+'Amend#2 NPS Activities'!H19</f>
        <v>0</v>
      </c>
      <c r="K7" s="82">
        <f>'Amend#2 LEA Activities'!I20+'Amend#2 NPS Activities'!H20</f>
        <v>0</v>
      </c>
      <c r="L7" s="82">
        <f>'Amend#2 LEA Activities'!I21+'Amend#2 NPS Activities'!H21</f>
        <v>0</v>
      </c>
      <c r="M7" s="82">
        <f t="shared" si="0"/>
        <v>0</v>
      </c>
    </row>
    <row r="8" spans="1:13" x14ac:dyDescent="0.3">
      <c r="A8" s="81">
        <v>22100</v>
      </c>
      <c r="B8" s="81" t="s">
        <v>2066</v>
      </c>
      <c r="C8" s="751">
        <f>'Amend#2 LEA Activities'!I22+'Amend#2 NPS Activities'!H22</f>
        <v>0</v>
      </c>
      <c r="D8" s="752"/>
      <c r="E8" s="751">
        <f>'Amend#2 LEA Activities'!I23+'Amend#2 NPS Activities'!H23</f>
        <v>0</v>
      </c>
      <c r="F8" s="752"/>
      <c r="G8" s="244">
        <f>'Amend#2 LEA Activities'!I24+'Amend#2 NPS Activities'!H24</f>
        <v>0</v>
      </c>
      <c r="H8" s="244">
        <f>'Amend#2 LEA Activities'!I25+'Amend#2 NPS Activities'!H25</f>
        <v>0</v>
      </c>
      <c r="I8" s="244">
        <f>'Amend#2 LEA Activities'!I26+'Amend#2 NPS Activities'!H26</f>
        <v>0</v>
      </c>
      <c r="J8" s="244">
        <f>'Amend#2 LEA Activities'!I27+'Amend#2 NPS Activities'!H27</f>
        <v>0</v>
      </c>
      <c r="K8" s="244">
        <f>'Amend#2 LEA Activities'!I28+'Amend#2 NPS Activities'!H28</f>
        <v>0</v>
      </c>
      <c r="L8" s="244">
        <f>'Amend#2 LEA Activities'!I29+'Amend#2 NPS Activities'!H29</f>
        <v>0</v>
      </c>
      <c r="M8" s="244">
        <f t="shared" si="0"/>
        <v>0</v>
      </c>
    </row>
    <row r="9" spans="1:13" ht="27.6" x14ac:dyDescent="0.3">
      <c r="A9" s="83">
        <v>22900</v>
      </c>
      <c r="B9" s="81" t="s">
        <v>28</v>
      </c>
      <c r="C9" s="578">
        <f>'Amend#2 LEA Activities'!I30+'Amend#2 NPS Activities'!H30</f>
        <v>0</v>
      </c>
      <c r="D9" s="579"/>
      <c r="E9" s="578">
        <f>'Amend#2 LEA Activities'!I31+'Amend#2 NPS Activities'!H31</f>
        <v>0</v>
      </c>
      <c r="F9" s="579"/>
      <c r="G9" s="82">
        <f>'Amend#2 LEA Activities'!I32+'Amend#2 NPS Activities'!H32</f>
        <v>0</v>
      </c>
      <c r="H9" s="82">
        <f>'Amend#2 LEA Activities'!I33+'Amend#2 NPS Activities'!H33</f>
        <v>0</v>
      </c>
      <c r="I9" s="82">
        <f>'Amend#2 LEA Activities'!I34+'Amend#2 NPS Activities'!H34</f>
        <v>0</v>
      </c>
      <c r="J9" s="82">
        <f>'Amend#2 LEA Activities'!I35+'Amend#2 NPS Activities'!H35</f>
        <v>0</v>
      </c>
      <c r="K9" s="82">
        <f>'Amend#2 LEA Activities'!I36+'Amend#2 NPS Activities'!H36</f>
        <v>0</v>
      </c>
      <c r="L9" s="82">
        <f>'Amend#2 LEA Activities'!I37+'Amend#2 NPS Activities'!H37</f>
        <v>0</v>
      </c>
      <c r="M9" s="82">
        <f t="shared" si="0"/>
        <v>0</v>
      </c>
    </row>
    <row r="10" spans="1:13" x14ac:dyDescent="0.3">
      <c r="A10" s="83">
        <v>25191</v>
      </c>
      <c r="B10" s="81" t="s">
        <v>19</v>
      </c>
      <c r="C10" s="751"/>
      <c r="D10" s="752"/>
      <c r="E10" s="751"/>
      <c r="F10" s="752"/>
      <c r="G10" s="244"/>
      <c r="H10" s="244"/>
      <c r="I10" s="244"/>
      <c r="J10" s="244"/>
      <c r="K10" s="244"/>
      <c r="L10" s="244"/>
      <c r="M10" s="244">
        <f t="shared" si="0"/>
        <v>0</v>
      </c>
    </row>
    <row r="11" spans="1:13" x14ac:dyDescent="0.3">
      <c r="A11" s="83">
        <v>26000</v>
      </c>
      <c r="B11" s="81" t="s">
        <v>20</v>
      </c>
      <c r="C11" s="578">
        <f>'Amend#2 LEA Activities'!I38+'Amend#2 NPS Activities'!H38</f>
        <v>0</v>
      </c>
      <c r="D11" s="579"/>
      <c r="E11" s="578">
        <f>'Amend#2 LEA Activities'!I39+'Amend#2 NPS Activities'!H39</f>
        <v>0</v>
      </c>
      <c r="F11" s="579"/>
      <c r="G11" s="82">
        <f>'Amend#2 LEA Activities'!I40+'Amend#2 NPS Activities'!H40</f>
        <v>0</v>
      </c>
      <c r="H11" s="82">
        <f>'Amend#2 LEA Activities'!I41+'Amend#2 NPS Activities'!H41</f>
        <v>0</v>
      </c>
      <c r="I11" s="82">
        <f>'Amend#2 LEA Activities'!I42+'Amend#2 NPS Activities'!H42</f>
        <v>0</v>
      </c>
      <c r="J11" s="82">
        <f>'Amend#2 LEA Activities'!I43+'Amend#2 NPS Activities'!H43</f>
        <v>0</v>
      </c>
      <c r="K11" s="82">
        <f>'Amend#2 LEA Activities'!I44+'Amend#2 NPS Activities'!H44</f>
        <v>0</v>
      </c>
      <c r="L11" s="82">
        <f>'Amend#2 LEA Activities'!I45+'Amend#2 NPS Activities'!H45</f>
        <v>0</v>
      </c>
      <c r="M11" s="82">
        <f t="shared" si="0"/>
        <v>0</v>
      </c>
    </row>
    <row r="12" spans="1:13" x14ac:dyDescent="0.3">
      <c r="A12" s="81">
        <v>27000</v>
      </c>
      <c r="B12" s="81" t="s">
        <v>21</v>
      </c>
      <c r="C12" s="751">
        <f>'Amend#2 LEA Activities'!I46+'Amend#2 NPS Activities'!H46</f>
        <v>0</v>
      </c>
      <c r="D12" s="752"/>
      <c r="E12" s="751">
        <f>'Amend#2 LEA Activities'!I47+'Amend#2 NPS Activities'!H47</f>
        <v>0</v>
      </c>
      <c r="F12" s="752"/>
      <c r="G12" s="244">
        <f>'Amend#2 LEA Activities'!I48+'Amend#2 NPS Activities'!H48</f>
        <v>0</v>
      </c>
      <c r="H12" s="244">
        <f>'Amend#2 LEA Activities'!I49+'Amend#2 NPS Activities'!H49</f>
        <v>0</v>
      </c>
      <c r="I12" s="244">
        <f>'Amend#2 LEA Activities'!I50+'Amend#2 NPS Activities'!H50</f>
        <v>0</v>
      </c>
      <c r="J12" s="244">
        <f>'Amend#2 LEA Activities'!I51+'Amend#2 NPS Activities'!H51</f>
        <v>0</v>
      </c>
      <c r="K12" s="244">
        <f>'Amend#2 LEA Activities'!I52+'Amend#2 NPS Activities'!H52</f>
        <v>0</v>
      </c>
      <c r="L12" s="244">
        <f>'Amend#2 LEA Activities'!I53+'Amend#2 NPS Activities'!H53</f>
        <v>0</v>
      </c>
      <c r="M12" s="244">
        <f t="shared" si="0"/>
        <v>0</v>
      </c>
    </row>
    <row r="13" spans="1:13" ht="27.6" x14ac:dyDescent="0.3">
      <c r="A13" s="81">
        <v>33000</v>
      </c>
      <c r="B13" s="81" t="s">
        <v>22</v>
      </c>
      <c r="C13" s="578">
        <f>'Amend#2 LEA Activities'!I54+'Amend#2 NPS Activities'!H54</f>
        <v>0</v>
      </c>
      <c r="D13" s="579"/>
      <c r="E13" s="578">
        <f>'Amend#2 LEA Activities'!I55+'Amend#2 NPS Activities'!H55</f>
        <v>0</v>
      </c>
      <c r="F13" s="579"/>
      <c r="G13" s="82">
        <f>'Amend#2 LEA Activities'!I56+'Amend#2 NPS Activities'!H56</f>
        <v>0</v>
      </c>
      <c r="H13" s="82">
        <f>'Amend#2 LEA Activities'!I57+'Amend#2 NPS Activities'!H57</f>
        <v>0</v>
      </c>
      <c r="I13" s="82">
        <f>'Amend#2 LEA Activities'!I58+'Amend#2 NPS Activities'!H58</f>
        <v>0</v>
      </c>
      <c r="J13" s="82">
        <f>'Amend#2 LEA Activities'!I59+'Amend#2 NPS Activities'!H59</f>
        <v>0</v>
      </c>
      <c r="K13" s="82">
        <f>'Amend#2 LEA Activities'!I60+'Amend#2 NPS Activities'!H60</f>
        <v>0</v>
      </c>
      <c r="L13" s="82">
        <f>'Amend#2 LEA Activities'!I61+'Amend#2 NPS Activities'!H61</f>
        <v>0</v>
      </c>
      <c r="M13" s="82">
        <f t="shared" si="0"/>
        <v>0</v>
      </c>
    </row>
    <row r="14" spans="1:13" x14ac:dyDescent="0.3">
      <c r="A14" s="192"/>
      <c r="B14" s="192"/>
      <c r="C14" s="731"/>
      <c r="D14" s="732"/>
      <c r="E14" s="731"/>
      <c r="F14" s="732"/>
      <c r="G14" s="193"/>
      <c r="H14" s="244"/>
      <c r="I14" s="244"/>
      <c r="J14" s="193"/>
      <c r="K14" s="193"/>
      <c r="L14" s="194"/>
      <c r="M14" s="194"/>
    </row>
    <row r="15" spans="1:13" x14ac:dyDescent="0.3">
      <c r="A15" s="233"/>
      <c r="B15" s="85" t="s">
        <v>23</v>
      </c>
      <c r="C15" s="578">
        <f t="shared" ref="C15:L15" si="1">SUM(C6:C14)</f>
        <v>0</v>
      </c>
      <c r="D15" s="579"/>
      <c r="E15" s="578">
        <f t="shared" si="1"/>
        <v>0</v>
      </c>
      <c r="F15" s="579"/>
      <c r="G15" s="82">
        <f>SUM(G6:G14)</f>
        <v>0</v>
      </c>
      <c r="H15" s="82">
        <f>'Amend#2 LEA Activities'!I18+'Amend#2 NPS Activities'!H18</f>
        <v>0</v>
      </c>
      <c r="I15" s="82">
        <f>'Amend#2 LEA Activities'!I19+'Amend#2 NPS Activities'!H19</f>
        <v>0</v>
      </c>
      <c r="J15" s="82">
        <f t="shared" si="1"/>
        <v>0</v>
      </c>
      <c r="K15" s="82">
        <f t="shared" si="1"/>
        <v>0</v>
      </c>
      <c r="L15" s="82">
        <f t="shared" si="1"/>
        <v>0</v>
      </c>
      <c r="M15" s="86">
        <f>((SUM(M6:M14)-L15))</f>
        <v>0</v>
      </c>
    </row>
    <row r="16" spans="1:13" ht="15" thickBot="1" x14ac:dyDescent="0.35">
      <c r="A16" s="168"/>
      <c r="B16" s="169"/>
      <c r="C16" s="580"/>
      <c r="D16" s="581"/>
      <c r="E16" s="580"/>
      <c r="F16" s="581"/>
      <c r="G16" s="170"/>
      <c r="H16" s="171"/>
      <c r="I16" s="171"/>
      <c r="J16" s="171"/>
      <c r="K16" s="171"/>
      <c r="L16" s="172" t="s">
        <v>29</v>
      </c>
      <c r="M16" s="172">
        <f>SUM(M6:M14)</f>
        <v>0</v>
      </c>
    </row>
    <row r="17" spans="1:14" x14ac:dyDescent="0.3">
      <c r="A17" s="584" t="s">
        <v>67</v>
      </c>
      <c r="B17" s="585"/>
      <c r="C17" s="585"/>
      <c r="D17" s="585"/>
      <c r="E17" s="585"/>
      <c r="F17" s="585"/>
      <c r="G17" s="585"/>
      <c r="H17" s="585"/>
      <c r="I17" s="585"/>
      <c r="J17" s="585"/>
      <c r="K17" s="585"/>
      <c r="L17" s="586"/>
      <c r="M17" s="167">
        <f>'Amend#2 LEA Activities'!I64</f>
        <v>0</v>
      </c>
    </row>
    <row r="18" spans="1:14" x14ac:dyDescent="0.3">
      <c r="A18" s="88"/>
      <c r="B18" s="89"/>
      <c r="C18" s="89"/>
      <c r="D18" s="89"/>
      <c r="E18" s="89"/>
      <c r="F18" s="89"/>
      <c r="G18" s="89"/>
      <c r="H18" s="89"/>
      <c r="I18" s="89"/>
      <c r="J18" s="89"/>
      <c r="K18" s="89"/>
      <c r="L18" s="180" t="s">
        <v>2003</v>
      </c>
      <c r="M18" s="87">
        <f>'Amend#2 NPS Activities'!H64</f>
        <v>0</v>
      </c>
    </row>
    <row r="19" spans="1:14" x14ac:dyDescent="0.3">
      <c r="A19" s="174" t="s">
        <v>72</v>
      </c>
      <c r="B19" s="582">
        <f>'Amend#1 Main Budget'!B19</f>
        <v>0</v>
      </c>
      <c r="C19" s="583"/>
      <c r="D19" s="576" t="s">
        <v>24</v>
      </c>
      <c r="E19" s="576"/>
      <c r="F19" s="576"/>
      <c r="G19" s="576"/>
      <c r="H19" s="576"/>
      <c r="I19" s="576"/>
      <c r="J19" s="576"/>
      <c r="K19" s="576"/>
      <c r="L19" s="576"/>
      <c r="M19" s="153"/>
    </row>
    <row r="20" spans="1:14" x14ac:dyDescent="0.3">
      <c r="A20" s="577" t="s">
        <v>25</v>
      </c>
      <c r="B20" s="577"/>
      <c r="C20" s="577"/>
      <c r="D20" s="577"/>
      <c r="E20" s="577"/>
      <c r="F20" s="577"/>
      <c r="G20" s="577"/>
      <c r="H20" s="577"/>
      <c r="I20" s="577"/>
      <c r="J20" s="577"/>
      <c r="K20" s="577"/>
      <c r="L20" s="577"/>
      <c r="M20" s="90">
        <f>SUM(M16,M19)-K15</f>
        <v>0</v>
      </c>
    </row>
    <row r="21" spans="1:14" x14ac:dyDescent="0.3">
      <c r="A21" s="577" t="s">
        <v>26</v>
      </c>
      <c r="B21" s="577"/>
      <c r="C21" s="577"/>
      <c r="D21" s="577"/>
      <c r="E21" s="577"/>
      <c r="F21" s="577"/>
      <c r="G21" s="577"/>
      <c r="H21" s="577"/>
      <c r="I21" s="577"/>
      <c r="J21" s="577"/>
      <c r="K21" s="577"/>
      <c r="L21" s="577"/>
      <c r="M21" s="87">
        <f>ROUND((B19/100)*M20,2)</f>
        <v>0</v>
      </c>
    </row>
    <row r="22" spans="1:14" x14ac:dyDescent="0.3">
      <c r="A22" s="577" t="s">
        <v>27</v>
      </c>
      <c r="B22" s="577"/>
      <c r="C22" s="577"/>
      <c r="D22" s="577"/>
      <c r="E22" s="577"/>
      <c r="F22" s="577"/>
      <c r="G22" s="577"/>
      <c r="H22" s="577"/>
      <c r="I22" s="577"/>
      <c r="J22" s="577"/>
      <c r="K22" s="577"/>
      <c r="L22" s="577"/>
      <c r="M22" s="173">
        <f>'Amend#2 LEA Activities'!I62+'Amend#2 NPS Activities'!H62</f>
        <v>0</v>
      </c>
    </row>
    <row r="23" spans="1:14" x14ac:dyDescent="0.3">
      <c r="A23" s="91"/>
      <c r="B23" s="91"/>
      <c r="C23" s="91"/>
      <c r="D23" s="91"/>
      <c r="E23" s="91"/>
      <c r="F23" s="91"/>
      <c r="G23" s="91"/>
      <c r="H23" s="91"/>
      <c r="I23" s="91"/>
      <c r="J23" s="91"/>
      <c r="K23" s="91"/>
      <c r="L23" s="91" t="s">
        <v>2012</v>
      </c>
      <c r="M23" s="87">
        <f>SUM(C9:L9)</f>
        <v>0</v>
      </c>
    </row>
    <row r="24" spans="1:14" x14ac:dyDescent="0.3">
      <c r="A24" s="595" t="s">
        <v>73</v>
      </c>
      <c r="B24" s="595"/>
      <c r="C24" s="595"/>
      <c r="D24" s="595"/>
      <c r="E24" s="595"/>
      <c r="F24" s="595"/>
      <c r="G24" s="595"/>
      <c r="H24" s="595"/>
      <c r="I24" s="595"/>
      <c r="J24" s="595"/>
      <c r="K24" s="595"/>
      <c r="L24" s="595"/>
      <c r="M24" s="86">
        <f>M16+M22</f>
        <v>0</v>
      </c>
      <c r="N24" s="181" t="e">
        <f>'Amend#2 Overview'!G13+G14</f>
        <v>#VALUE!</v>
      </c>
    </row>
    <row r="25" spans="1:14" ht="15.6" x14ac:dyDescent="0.3">
      <c r="A25" s="234"/>
      <c r="B25" s="234"/>
      <c r="C25" s="234"/>
      <c r="D25" s="234"/>
      <c r="E25" s="234"/>
      <c r="F25" s="234"/>
      <c r="G25" s="234"/>
      <c r="H25" s="93"/>
      <c r="I25" s="93"/>
      <c r="J25" s="93"/>
      <c r="K25" s="93"/>
      <c r="L25" s="93"/>
      <c r="M25" s="94"/>
    </row>
    <row r="26" spans="1:14" ht="16.2" customHeight="1" x14ac:dyDescent="0.3">
      <c r="A26" s="594" t="s">
        <v>147</v>
      </c>
      <c r="B26" s="594"/>
      <c r="C26" s="594"/>
      <c r="D26" s="594"/>
      <c r="E26" s="594"/>
      <c r="F26" s="594"/>
      <c r="G26" s="95" t="s">
        <v>31</v>
      </c>
      <c r="H26" s="96" t="s">
        <v>74</v>
      </c>
      <c r="I26" s="97"/>
      <c r="J26" s="98"/>
    </row>
    <row r="27" spans="1:14" ht="22.95" customHeight="1" x14ac:dyDescent="0.3">
      <c r="A27" s="588" t="s">
        <v>144</v>
      </c>
      <c r="B27" s="589"/>
      <c r="C27" s="589"/>
      <c r="D27" s="589"/>
      <c r="E27" s="589"/>
      <c r="F27" s="590"/>
      <c r="G27" s="99">
        <f>SUMIF('Amend#2 LEA Activities'!B6:B35,"1",'Amend#2 LEA Activities'!E6:E35)</f>
        <v>0</v>
      </c>
      <c r="H27" s="277" t="str">
        <f>IFERROR(SUM(G27/Overview!G14),"")</f>
        <v/>
      </c>
      <c r="I27" s="101"/>
      <c r="J27" s="102"/>
    </row>
    <row r="28" spans="1:14" ht="20.399999999999999" customHeight="1" x14ac:dyDescent="0.3">
      <c r="A28" s="591" t="s">
        <v>145</v>
      </c>
      <c r="B28" s="592"/>
      <c r="C28" s="592"/>
      <c r="D28" s="592"/>
      <c r="E28" s="592"/>
      <c r="F28" s="593"/>
      <c r="G28" s="99">
        <f>SUMIF('Amend#2 LEA Activities'!B6:B35,"2",'Amend#2 LEA Activities'!E6:E35)</f>
        <v>0</v>
      </c>
      <c r="H28" s="277" t="str">
        <f>IFERROR(SUM(G28/Overview!G14),"")</f>
        <v/>
      </c>
      <c r="I28" s="101"/>
      <c r="J28" s="102"/>
    </row>
    <row r="29" spans="1:14" ht="21" customHeight="1" x14ac:dyDescent="0.3">
      <c r="A29" s="591" t="s">
        <v>146</v>
      </c>
      <c r="B29" s="592"/>
      <c r="C29" s="592"/>
      <c r="D29" s="592"/>
      <c r="E29" s="592"/>
      <c r="F29" s="593"/>
      <c r="G29" s="99">
        <f>SUMIF('Amend#2 LEA Activities'!B6:B35,"3",'Amend#2 LEA Activities'!E6:E35)</f>
        <v>0</v>
      </c>
      <c r="H29" s="277" t="str">
        <f>IFERROR(SUM(G29/Overview!G14),"")</f>
        <v/>
      </c>
      <c r="I29" s="101"/>
      <c r="J29" s="102"/>
      <c r="K29" s="596"/>
      <c r="L29" s="596"/>
      <c r="M29" s="103"/>
    </row>
    <row r="30" spans="1:14" ht="22.95" customHeight="1" x14ac:dyDescent="0.3">
      <c r="A30" s="104"/>
      <c r="B30" s="104"/>
      <c r="C30" s="104"/>
      <c r="D30" s="587"/>
      <c r="E30" s="587"/>
      <c r="F30" s="587"/>
      <c r="G30" s="587"/>
      <c r="H30" s="105"/>
      <c r="I30" s="105"/>
      <c r="J30" s="106"/>
      <c r="K30" s="596"/>
      <c r="L30" s="596"/>
      <c r="M30" s="103"/>
    </row>
  </sheetData>
  <sheetProtection algorithmName="SHA-512" hashValue="I5rzeyCn1+6O8O/ix+WEVKs4tc4dNwGpil2a2fA/bTD0gOBDALjFwCUtUpGRt5v3wbDOusfvRtS9LeabVhoUvg==" saltValue="M3IcxmvkzRpB35LrtmnEBA==" spinCount="100000" sheet="1" objects="1" scenarios="1" selectLockedCells="1"/>
  <protectedRanges>
    <protectedRange algorithmName="SHA-512" hashValue="3b95bpvQjq0s58Os8PVjtFd5QufcRL5YDzBpab6JTWdhNWE+3Sew372NYJC9LyYwHdiLoG9+E1URQ/9gXw6M2g==" saltValue="Dc4ubrENfJ1JzZRbwmxr1Q==" spinCount="100000" sqref="M30" name="Infrastructure"/>
    <protectedRange algorithmName="SHA-512" hashValue="3b95bpvQjq0s58Os8PVjtFd5QufcRL5YDzBpab6JTWdhNWE+3Sew372NYJC9LyYwHdiLoG9+E1URQ/9gXw6M2g==" saltValue="Dc4ubrENfJ1JzZRbwmxr1Q==" spinCount="100000" sqref="M29" name="Infrastructure_1"/>
    <protectedRange algorithmName="SHA-512" hashValue="VE+MMm4Tq2imO0b4cCfe/GLwo5/uojngjNFtz+gAM1c2BDwWuP/m5dHuk50rv/zQxkG1QadmD2mIZxE45SDDjQ==" saltValue="ZVp3gHcNtMIFaeXScHwgTQ==" spinCount="100000" sqref="G27:G29" name="Focus Area_1"/>
    <protectedRange algorithmName="SHA-512" hashValue="gmWeISesQPMhzvPqYovgcN9UEgd0Qz9m7L2OL3iTpt69X/6n0UP292d1N3RSvpGgIGeqEyqzc55mwxngwvAePw==" saltValue="fYwuXBuj4dlAVNgmXMHXmA==" spinCount="100000" sqref="J15:M15 J14:K14 C14:I15 M6:M13" name="Main Budget_2"/>
    <protectedRange algorithmName="SHA-512" hashValue="gmWeISesQPMhzvPqYovgcN9UEgd0Qz9m7L2OL3iTpt69X/6n0UP292d1N3RSvpGgIGeqEyqzc55mwxngwvAePw==" saltValue="fYwuXBuj4dlAVNgmXMHXmA==" spinCount="100000" sqref="L14:M14" name="Main Budget_1_1"/>
    <protectedRange algorithmName="SHA-512" hashValue="g94kMd79A/YYd0ADBad8mZMcZU2dwwfpSMxsE13ATz7R3GZjHsJQKg4bX2Qxb4n3xtTTwh/jVE9u2bu0jJr3Pg==" saltValue="iPGkUWOUuB1Ny8MQAQGXzg==" spinCount="100000" sqref="M21:M24" name="Totals_3_1"/>
    <protectedRange algorithmName="SHA-512" hashValue="g94kMd79A/YYd0ADBad8mZMcZU2dwwfpSMxsE13ATz7R3GZjHsJQKg4bX2Qxb4n3xtTTwh/jVE9u2bu0jJr3Pg==" saltValue="iPGkUWOUuB1Ny8MQAQGXzg==" spinCount="100000" sqref="M20" name="Totals_4"/>
    <protectedRange algorithmName="SHA-512" hashValue="gmWeISesQPMhzvPqYovgcN9UEgd0Qz9m7L2OL3iTpt69X/6n0UP292d1N3RSvpGgIGeqEyqzc55mwxngwvAePw==" saltValue="fYwuXBuj4dlAVNgmXMHXmA==" spinCount="100000" sqref="C6:D13" name="Main Budget"/>
    <protectedRange algorithmName="SHA-512" hashValue="gmWeISesQPMhzvPqYovgcN9UEgd0Qz9m7L2OL3iTpt69X/6n0UP292d1N3RSvpGgIGeqEyqzc55mwxngwvAePw==" saltValue="fYwuXBuj4dlAVNgmXMHXmA==" spinCount="100000" sqref="E6:F13" name="Main Budget_1"/>
    <protectedRange algorithmName="SHA-512" hashValue="gmWeISesQPMhzvPqYovgcN9UEgd0Qz9m7L2OL3iTpt69X/6n0UP292d1N3RSvpGgIGeqEyqzc55mwxngwvAePw==" saltValue="fYwuXBuj4dlAVNgmXMHXmA==" spinCount="100000" sqref="G6:L13" name="Main Budget_3"/>
  </protectedRanges>
  <mergeCells count="54">
    <mergeCell ref="A22:L22"/>
    <mergeCell ref="D30:G30"/>
    <mergeCell ref="K30:L30"/>
    <mergeCell ref="A17:L17"/>
    <mergeCell ref="B19:C19"/>
    <mergeCell ref="D19:L19"/>
    <mergeCell ref="A20:L20"/>
    <mergeCell ref="A21:L21"/>
    <mergeCell ref="A24:L24"/>
    <mergeCell ref="A26:F26"/>
    <mergeCell ref="A27:F27"/>
    <mergeCell ref="A28:F28"/>
    <mergeCell ref="A29:F29"/>
    <mergeCell ref="K29:L29"/>
    <mergeCell ref="C15:D15"/>
    <mergeCell ref="E15:F15"/>
    <mergeCell ref="C16:D16"/>
    <mergeCell ref="E16:F16"/>
    <mergeCell ref="C11:D11"/>
    <mergeCell ref="E11:F11"/>
    <mergeCell ref="C12:D12"/>
    <mergeCell ref="E12:F12"/>
    <mergeCell ref="C13:D13"/>
    <mergeCell ref="E13:F13"/>
    <mergeCell ref="C14:D14"/>
    <mergeCell ref="E14:F14"/>
    <mergeCell ref="C8:D8"/>
    <mergeCell ref="E8:F8"/>
    <mergeCell ref="C9:D9"/>
    <mergeCell ref="E9:F9"/>
    <mergeCell ref="C10:D10"/>
    <mergeCell ref="E10:F10"/>
    <mergeCell ref="I4:I5"/>
    <mergeCell ref="J4:J5"/>
    <mergeCell ref="C6:D6"/>
    <mergeCell ref="E6:F6"/>
    <mergeCell ref="C7:D7"/>
    <mergeCell ref="E7:F7"/>
    <mergeCell ref="K4:K5"/>
    <mergeCell ref="L4:L5"/>
    <mergeCell ref="M4:M5"/>
    <mergeCell ref="A1:M1"/>
    <mergeCell ref="A2:M2"/>
    <mergeCell ref="A3:B3"/>
    <mergeCell ref="C3:D3"/>
    <mergeCell ref="E3:F3"/>
    <mergeCell ref="A4:A5"/>
    <mergeCell ref="B4:B5"/>
    <mergeCell ref="C4:D4"/>
    <mergeCell ref="E4:F4"/>
    <mergeCell ref="G4:G5"/>
    <mergeCell ref="C5:D5"/>
    <mergeCell ref="E5:F5"/>
    <mergeCell ref="H4:H5"/>
  </mergeCells>
  <conditionalFormatting sqref="L14">
    <cfRule type="expression" dxfId="105" priority="21">
      <formula>MOD(ROW(),2)=0</formula>
    </cfRule>
  </conditionalFormatting>
  <conditionalFormatting sqref="M22">
    <cfRule type="expression" dxfId="104" priority="18">
      <formula>$M$22&lt;=$M$21</formula>
    </cfRule>
  </conditionalFormatting>
  <conditionalFormatting sqref="M22">
    <cfRule type="expression" dxfId="103" priority="20">
      <formula>$M$22&gt;$M$21</formula>
    </cfRule>
  </conditionalFormatting>
  <conditionalFormatting sqref="E6:E13">
    <cfRule type="expression" dxfId="102" priority="7">
      <formula>MOD(ROW(),2)=0</formula>
    </cfRule>
  </conditionalFormatting>
  <conditionalFormatting sqref="B8">
    <cfRule type="expression" dxfId="101" priority="1">
      <formula>MOD(ROW(),2)=0</formula>
    </cfRule>
  </conditionalFormatting>
  <hyperlinks>
    <hyperlink ref="A3:B3" location="'Budget Category'!A1" display="Object Code" xr:uid="{BBF6D8B1-F61E-418B-B2A5-2ACDFB79021E}"/>
  </hyperlinks>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7" id="{BAB37619-94C2-40A2-8FB7-04810496E35A}">
            <xm:f>$M$23&lt;=Overview!I15</xm:f>
            <x14:dxf>
              <fill>
                <patternFill>
                  <bgColor rgb="FF92D050"/>
                </patternFill>
              </fill>
            </x14:dxf>
          </x14:cfRule>
          <x14:cfRule type="expression" priority="19" id="{74E51AFA-5BB4-41BA-9163-3303DD61BFE1}">
            <xm:f>$M$23&gt;Overview!I15</xm:f>
            <x14:dxf>
              <font>
                <b/>
                <i val="0"/>
                <color theme="0"/>
              </font>
              <fill>
                <patternFill>
                  <bgColor rgb="FFFF0000"/>
                </patternFill>
              </fill>
            </x14:dxf>
          </x14:cfRule>
          <xm:sqref>M23</xm:sqref>
        </x14:conditionalFormatting>
        <x14:conditionalFormatting xmlns:xm="http://schemas.microsoft.com/office/excel/2006/main">
          <x14:cfRule type="expression" priority="15" id="{8B0D0D71-81F7-4458-ADF9-55CF31648EFF}">
            <xm:f>$M$18='Amend#2 Equitable Share'!K56</xm:f>
            <x14:dxf>
              <fill>
                <patternFill>
                  <bgColor rgb="FF92D050"/>
                </patternFill>
              </fill>
            </x14:dxf>
          </x14:cfRule>
          <x14:cfRule type="expression" priority="16" id="{9EC7A954-D37A-4235-886D-09960F3EF0B5}">
            <xm:f>$M$18&lt;&gt;'Amend#2 Equitable Share'!K56</xm:f>
            <x14:dxf>
              <fill>
                <patternFill>
                  <bgColor rgb="FFFF0000"/>
                </patternFill>
              </fill>
            </x14:dxf>
          </x14:cfRule>
          <xm:sqref>M18</xm:sqref>
        </x14:conditionalFormatting>
        <x14:conditionalFormatting xmlns:xm="http://schemas.microsoft.com/office/excel/2006/main">
          <x14:cfRule type="expression" priority="13" id="{030E6BFB-2ACA-4D50-8ABE-239A555D2124}">
            <xm:f>$M$24&lt;&gt;'Amend#2 Overview'!$G$12</xm:f>
            <x14:dxf>
              <fill>
                <patternFill>
                  <bgColor rgb="FFFF0000"/>
                </patternFill>
              </fill>
            </x14:dxf>
          </x14:cfRule>
          <x14:cfRule type="expression" priority="14" id="{8A1E66F4-AAB7-4321-BCAA-835F6EDC0FD8}">
            <xm:f>$M$24='Amend#2 Overview'!$G$12</xm:f>
            <x14:dxf>
              <fill>
                <patternFill>
                  <bgColor rgb="FF92D050"/>
                </patternFill>
              </fill>
            </x14:dxf>
          </x14:cfRule>
          <xm:sqref>M24</xm:sqref>
        </x14:conditionalFormatting>
        <x14:conditionalFormatting xmlns:xm="http://schemas.microsoft.com/office/excel/2006/main">
          <x14:cfRule type="expression" priority="11" id="{357C8FFF-AAFF-4D5D-85D6-7725D315B1B9}">
            <xm:f>$M$17='Amend#2 Overview'!G14</xm:f>
            <x14:dxf>
              <fill>
                <patternFill>
                  <bgColor rgb="FF92D050"/>
                </patternFill>
              </fill>
            </x14:dxf>
          </x14:cfRule>
          <x14:cfRule type="expression" priority="12" id="{23511DDD-C35D-4A71-ABC9-36BE260F81A6}">
            <xm:f>$M$17&lt;&gt;'Amend#2 Overview'!G14</xm:f>
            <x14:dxf>
              <fill>
                <patternFill>
                  <bgColor rgb="FFFF0000"/>
                </patternFill>
              </fill>
            </x14:dxf>
          </x14:cfRule>
          <xm:sqref>M17</xm:sqref>
        </x14:conditionalFormatting>
        <x14:conditionalFormatting xmlns:xm="http://schemas.microsoft.com/office/excel/2006/main">
          <x14:cfRule type="cellIs" priority="2" operator="lessThan" id="{F28FA80E-8929-4F1D-BDDE-DCA228A7715F}">
            <xm:f>'Amend#1 Main Budget'!C6</xm:f>
            <x14:dxf>
              <font>
                <b/>
                <i val="0"/>
                <color rgb="FFFF0000"/>
              </font>
            </x14:dxf>
          </x14:cfRule>
          <x14:cfRule type="cellIs" priority="3" operator="greaterThan" id="{7C03E0B8-3FA8-43A4-BCD0-AB7B3A306FAB}">
            <xm:f>'Amend#1 Main Budget'!C6</xm:f>
            <x14:dxf>
              <font>
                <b/>
                <i val="0"/>
                <color rgb="FF92D050"/>
              </font>
            </x14:dxf>
          </x14:cfRule>
          <xm:sqref>C6:L13 C15:L15</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B923-111C-479A-A163-90529DE383B5}">
  <sheetPr>
    <tabColor rgb="FF009999"/>
  </sheetPr>
  <dimension ref="A1:S72"/>
  <sheetViews>
    <sheetView zoomScaleNormal="100" workbookViewId="0">
      <selection activeCell="C4" sqref="C4:D4"/>
    </sheetView>
  </sheetViews>
  <sheetFormatPr defaultRowHeight="14.4" x14ac:dyDescent="0.3"/>
  <cols>
    <col min="1" max="1" width="14.21875" customWidth="1"/>
    <col min="2" max="2" width="15.88671875" customWidth="1"/>
    <col min="3" max="3" width="14.21875" customWidth="1"/>
    <col min="4" max="4" width="14.77734375" customWidth="1"/>
    <col min="5" max="6" width="15" customWidth="1"/>
    <col min="7" max="7" width="3.5546875" customWidth="1"/>
  </cols>
  <sheetData>
    <row r="1" spans="1:19" ht="29.4" customHeight="1" thickBot="1" x14ac:dyDescent="0.35">
      <c r="A1" s="753" t="s">
        <v>2034</v>
      </c>
      <c r="B1" s="754"/>
      <c r="C1" s="754"/>
      <c r="D1" s="754"/>
      <c r="E1" s="754"/>
      <c r="F1" s="754"/>
      <c r="G1" s="754"/>
      <c r="H1" s="754"/>
      <c r="I1" s="754"/>
      <c r="J1" s="754"/>
      <c r="K1" s="754"/>
      <c r="L1" s="754"/>
      <c r="M1" s="754"/>
      <c r="N1" s="754"/>
      <c r="O1" s="754"/>
      <c r="P1" s="754"/>
      <c r="Q1" s="754"/>
      <c r="R1" s="754"/>
      <c r="S1" s="755"/>
    </row>
    <row r="2" spans="1:19" ht="15" thickBot="1" x14ac:dyDescent="0.35">
      <c r="A2" s="275" t="s">
        <v>2036</v>
      </c>
      <c r="B2" s="276" t="s">
        <v>2061</v>
      </c>
      <c r="C2" s="268"/>
      <c r="D2" s="275" t="s">
        <v>2035</v>
      </c>
      <c r="E2" s="604"/>
      <c r="F2" s="604"/>
      <c r="G2" s="268"/>
      <c r="H2" s="268"/>
      <c r="I2" s="268"/>
      <c r="J2" s="268"/>
      <c r="K2" s="268"/>
      <c r="L2" s="268"/>
      <c r="M2" s="268"/>
      <c r="N2" s="268"/>
      <c r="O2" s="268"/>
      <c r="P2" s="268"/>
      <c r="Q2" s="268"/>
      <c r="R2" s="268"/>
      <c r="S2" s="269"/>
    </row>
    <row r="3" spans="1:19" x14ac:dyDescent="0.3">
      <c r="A3" s="629" t="s">
        <v>2037</v>
      </c>
      <c r="B3" s="630"/>
      <c r="C3" s="630" t="s">
        <v>2038</v>
      </c>
      <c r="D3" s="630"/>
      <c r="E3" s="630" t="s">
        <v>2039</v>
      </c>
      <c r="F3" s="638"/>
      <c r="G3" s="268"/>
      <c r="H3" s="268"/>
      <c r="I3" s="268"/>
      <c r="J3" s="268"/>
      <c r="K3" s="268"/>
      <c r="L3" s="268"/>
      <c r="M3" s="268"/>
      <c r="N3" s="268"/>
      <c r="O3" s="268"/>
      <c r="P3" s="268"/>
      <c r="Q3" s="268"/>
      <c r="R3" s="268"/>
      <c r="S3" s="269"/>
    </row>
    <row r="4" spans="1:19" ht="15" thickBot="1" x14ac:dyDescent="0.35">
      <c r="A4" s="733">
        <f>'Amend#2 Overview'!C8</f>
        <v>0</v>
      </c>
      <c r="B4" s="641"/>
      <c r="C4" s="641">
        <f>'Amend#2 Overview'!G8</f>
        <v>0</v>
      </c>
      <c r="D4" s="641"/>
      <c r="E4" s="642">
        <f>'Amend#2 Overview'!K8</f>
        <v>0</v>
      </c>
      <c r="F4" s="643"/>
      <c r="G4" s="268"/>
      <c r="H4" s="268"/>
      <c r="I4" s="268"/>
      <c r="J4" s="268"/>
      <c r="K4" s="268"/>
      <c r="L4" s="268"/>
      <c r="M4" s="268"/>
      <c r="N4" s="268"/>
      <c r="O4" s="268"/>
      <c r="P4" s="268"/>
      <c r="Q4" s="268"/>
      <c r="R4" s="268"/>
      <c r="S4" s="269"/>
    </row>
    <row r="5" spans="1:19" ht="29.4" customHeight="1" x14ac:dyDescent="0.3">
      <c r="A5" s="629" t="s">
        <v>2040</v>
      </c>
      <c r="B5" s="630"/>
      <c r="C5" s="630" t="s">
        <v>2041</v>
      </c>
      <c r="D5" s="630"/>
      <c r="E5" s="631" t="s">
        <v>2042</v>
      </c>
      <c r="F5" s="632"/>
      <c r="G5" s="268"/>
      <c r="H5" s="268"/>
      <c r="I5" s="268"/>
      <c r="J5" s="268"/>
      <c r="K5" s="268"/>
      <c r="L5" s="268"/>
      <c r="M5" s="268"/>
      <c r="N5" s="268"/>
      <c r="O5" s="268"/>
      <c r="P5" s="268"/>
      <c r="Q5" s="268"/>
      <c r="R5" s="268"/>
      <c r="S5" s="269"/>
    </row>
    <row r="6" spans="1:19" ht="15" thickBot="1" x14ac:dyDescent="0.35">
      <c r="A6" s="633" t="str">
        <f>Overview!G9</f>
        <v/>
      </c>
      <c r="B6" s="634"/>
      <c r="C6" s="635">
        <f>'Amend#2 Overview'!G10</f>
        <v>0</v>
      </c>
      <c r="D6" s="634"/>
      <c r="E6" s="636" t="str">
        <f>IFERROR(C6/A6,"")</f>
        <v/>
      </c>
      <c r="F6" s="637"/>
      <c r="G6" s="268"/>
      <c r="H6" s="268"/>
      <c r="I6" s="268"/>
      <c r="J6" s="268"/>
      <c r="K6" s="268"/>
      <c r="L6" s="268"/>
      <c r="M6" s="268"/>
      <c r="N6" s="268"/>
      <c r="O6" s="268"/>
      <c r="P6" s="268"/>
      <c r="Q6" s="268"/>
      <c r="R6" s="268"/>
      <c r="S6" s="269"/>
    </row>
    <row r="7" spans="1:19" x14ac:dyDescent="0.3">
      <c r="A7" s="270"/>
      <c r="B7" s="268"/>
      <c r="C7" s="268"/>
      <c r="D7" s="268"/>
      <c r="E7" s="268"/>
      <c r="F7" s="268"/>
      <c r="G7" s="268"/>
      <c r="H7" s="268"/>
      <c r="I7" s="268"/>
      <c r="J7" s="268"/>
      <c r="K7" s="268"/>
      <c r="L7" s="268"/>
      <c r="M7" s="268"/>
      <c r="N7" s="268"/>
      <c r="O7" s="268"/>
      <c r="P7" s="268"/>
      <c r="Q7" s="268"/>
      <c r="R7" s="268"/>
      <c r="S7" s="269"/>
    </row>
    <row r="8" spans="1:19" x14ac:dyDescent="0.3">
      <c r="A8" s="621" t="s">
        <v>2044</v>
      </c>
      <c r="B8" s="602"/>
      <c r="C8" s="266"/>
      <c r="D8" s="267"/>
      <c r="E8" s="602" t="s">
        <v>2043</v>
      </c>
      <c r="F8" s="602"/>
      <c r="G8" s="268"/>
      <c r="H8" s="268"/>
      <c r="I8" s="268"/>
      <c r="J8" s="268"/>
      <c r="K8" s="268"/>
      <c r="L8" s="268"/>
      <c r="M8" s="268"/>
      <c r="N8" s="268"/>
      <c r="O8" s="268"/>
      <c r="P8" s="268"/>
      <c r="Q8" s="268"/>
      <c r="R8" s="268"/>
      <c r="S8" s="269"/>
    </row>
    <row r="9" spans="1:19" x14ac:dyDescent="0.3">
      <c r="A9" s="600" t="s">
        <v>2060</v>
      </c>
      <c r="B9" s="601"/>
      <c r="C9" s="271"/>
      <c r="D9" s="271"/>
      <c r="E9" s="600" t="s">
        <v>2060</v>
      </c>
      <c r="F9" s="601"/>
      <c r="G9" s="268"/>
      <c r="H9" s="268"/>
      <c r="I9" s="268"/>
      <c r="J9" s="268"/>
      <c r="K9" s="268"/>
      <c r="L9" s="268"/>
      <c r="M9" s="268"/>
      <c r="N9" s="268"/>
      <c r="O9" s="268"/>
      <c r="P9" s="268"/>
      <c r="Q9" s="268"/>
      <c r="R9" s="268"/>
      <c r="S9" s="269"/>
    </row>
    <row r="10" spans="1:19" x14ac:dyDescent="0.3">
      <c r="A10" s="621" t="s">
        <v>2045</v>
      </c>
      <c r="B10" s="602"/>
      <c r="C10" s="268"/>
      <c r="D10" s="268"/>
      <c r="E10" s="602" t="s">
        <v>2045</v>
      </c>
      <c r="F10" s="602"/>
      <c r="G10" s="268"/>
      <c r="H10" s="268"/>
      <c r="I10" s="268"/>
      <c r="J10" s="268"/>
      <c r="K10" s="268"/>
      <c r="L10" s="268"/>
      <c r="M10" s="268"/>
      <c r="N10" s="268"/>
      <c r="O10" s="268"/>
      <c r="P10" s="268"/>
      <c r="Q10" s="268"/>
      <c r="R10" s="268"/>
      <c r="S10" s="269"/>
    </row>
    <row r="11" spans="1:19" x14ac:dyDescent="0.3">
      <c r="A11" s="622">
        <f>IF('Amend#2 Overview'!M23&gt;'Amend#2 Overview'!I15,'Amend#2 Overview'!M23-'Amend#2 Overview'!I15,0)</f>
        <v>0</v>
      </c>
      <c r="B11" s="623"/>
      <c r="C11" s="268"/>
      <c r="D11" s="268"/>
      <c r="E11" s="624">
        <f>IF('Amend#2 Overview'!M22&gt;'Amend#2 Overview'!M21,'Amend#2 Overview'!M22-'Amend#2 Overview'!M21,0)</f>
        <v>0</v>
      </c>
      <c r="F11" s="624"/>
      <c r="G11" s="268"/>
      <c r="H11" s="268"/>
      <c r="I11" s="268"/>
      <c r="J11" s="268"/>
      <c r="K11" s="268"/>
      <c r="L11" s="268"/>
      <c r="M11" s="268"/>
      <c r="N11" s="268"/>
      <c r="O11" s="268"/>
      <c r="P11" s="268"/>
      <c r="Q11" s="268"/>
      <c r="R11" s="268"/>
      <c r="S11" s="269"/>
    </row>
    <row r="12" spans="1:19" ht="15" thickBot="1" x14ac:dyDescent="0.35">
      <c r="A12" s="270"/>
      <c r="B12" s="268"/>
      <c r="C12" s="268"/>
      <c r="D12" s="268"/>
      <c r="E12" s="268"/>
      <c r="F12" s="268"/>
      <c r="G12" s="268"/>
      <c r="H12" s="268"/>
      <c r="I12" s="268"/>
      <c r="J12" s="268"/>
      <c r="K12" s="268"/>
      <c r="L12" s="268"/>
      <c r="M12" s="268"/>
      <c r="N12" s="268"/>
      <c r="O12" s="268"/>
      <c r="P12" s="268"/>
      <c r="Q12" s="268"/>
      <c r="R12" s="268"/>
      <c r="S12" s="269"/>
    </row>
    <row r="13" spans="1:19" ht="15" thickBot="1" x14ac:dyDescent="0.35">
      <c r="A13" s="621" t="s">
        <v>2046</v>
      </c>
      <c r="B13" s="602"/>
      <c r="C13" s="602"/>
      <c r="D13" s="602"/>
      <c r="E13" s="602"/>
      <c r="F13" s="602"/>
      <c r="G13" s="268"/>
      <c r="H13" s="605" t="s">
        <v>2049</v>
      </c>
      <c r="I13" s="606"/>
      <c r="J13" s="606"/>
      <c r="K13" s="606"/>
      <c r="L13" s="606"/>
      <c r="M13" s="606"/>
      <c r="N13" s="606"/>
      <c r="O13" s="606"/>
      <c r="P13" s="606"/>
      <c r="Q13" s="606"/>
      <c r="R13" s="606"/>
      <c r="S13" s="607"/>
    </row>
    <row r="14" spans="1:19" ht="14.4" customHeight="1" thickBot="1" x14ac:dyDescent="0.35">
      <c r="A14" s="627" t="s">
        <v>2060</v>
      </c>
      <c r="B14" s="628"/>
      <c r="C14" s="612" t="s">
        <v>2054</v>
      </c>
      <c r="D14" s="613"/>
      <c r="E14" s="613"/>
      <c r="F14" s="614"/>
      <c r="G14" s="268"/>
      <c r="H14" s="608"/>
      <c r="I14" s="609"/>
      <c r="J14" s="609"/>
      <c r="K14" s="609"/>
      <c r="L14" s="609"/>
      <c r="M14" s="609"/>
      <c r="N14" s="609"/>
      <c r="O14" s="609"/>
      <c r="P14" s="609"/>
      <c r="Q14" s="609"/>
      <c r="R14" s="609"/>
      <c r="S14" s="610"/>
    </row>
    <row r="15" spans="1:19" x14ac:dyDescent="0.3">
      <c r="A15" s="627"/>
      <c r="B15" s="628"/>
      <c r="C15" s="615"/>
      <c r="D15" s="611"/>
      <c r="E15" s="611"/>
      <c r="F15" s="616"/>
      <c r="G15" s="268"/>
      <c r="H15" s="602" t="s">
        <v>2050</v>
      </c>
      <c r="I15" s="602"/>
      <c r="J15" s="602"/>
      <c r="K15" s="602"/>
      <c r="L15" s="602" t="s">
        <v>2051</v>
      </c>
      <c r="M15" s="602"/>
      <c r="N15" s="602"/>
      <c r="O15" s="602"/>
      <c r="P15" s="602" t="s">
        <v>2052</v>
      </c>
      <c r="Q15" s="602"/>
      <c r="R15" s="602"/>
      <c r="S15" s="603"/>
    </row>
    <row r="16" spans="1:19" x14ac:dyDescent="0.3">
      <c r="A16" s="627"/>
      <c r="B16" s="628"/>
      <c r="C16" s="615"/>
      <c r="D16" s="611"/>
      <c r="E16" s="611"/>
      <c r="F16" s="616"/>
      <c r="G16" s="268"/>
      <c r="H16" s="620" t="s">
        <v>2061</v>
      </c>
      <c r="I16" s="620"/>
      <c r="J16" s="620"/>
      <c r="K16" s="620"/>
      <c r="L16" s="620" t="s">
        <v>2060</v>
      </c>
      <c r="M16" s="620"/>
      <c r="N16" s="620"/>
      <c r="O16" s="620"/>
      <c r="P16" s="620" t="s">
        <v>2060</v>
      </c>
      <c r="Q16" s="620"/>
      <c r="R16" s="620"/>
      <c r="S16" s="620"/>
    </row>
    <row r="17" spans="1:19" ht="15" thickBot="1" x14ac:dyDescent="0.35">
      <c r="A17" s="270"/>
      <c r="B17" s="268"/>
      <c r="C17" s="615"/>
      <c r="D17" s="611"/>
      <c r="E17" s="611"/>
      <c r="F17" s="616"/>
      <c r="G17" s="268"/>
      <c r="H17" s="268"/>
      <c r="I17" s="268"/>
      <c r="J17" s="268"/>
      <c r="K17" s="268"/>
      <c r="L17" s="268"/>
      <c r="M17" s="268"/>
      <c r="N17" s="268"/>
      <c r="O17" s="268"/>
      <c r="P17" s="268"/>
      <c r="Q17" s="268"/>
      <c r="R17" s="268"/>
      <c r="S17" s="269"/>
    </row>
    <row r="18" spans="1:19" x14ac:dyDescent="0.3">
      <c r="A18" s="270"/>
      <c r="B18" s="268"/>
      <c r="C18" s="615"/>
      <c r="D18" s="611"/>
      <c r="E18" s="611"/>
      <c r="F18" s="616"/>
      <c r="G18" s="268"/>
      <c r="H18" s="602" t="s">
        <v>2053</v>
      </c>
      <c r="I18" s="602"/>
      <c r="J18" s="602"/>
      <c r="K18" s="602"/>
      <c r="L18" s="268"/>
      <c r="M18" s="612" t="s">
        <v>2054</v>
      </c>
      <c r="N18" s="613"/>
      <c r="O18" s="613"/>
      <c r="P18" s="613"/>
      <c r="Q18" s="613"/>
      <c r="R18" s="613"/>
      <c r="S18" s="614"/>
    </row>
    <row r="19" spans="1:19" x14ac:dyDescent="0.3">
      <c r="A19" s="270"/>
      <c r="B19" s="268"/>
      <c r="C19" s="615"/>
      <c r="D19" s="611"/>
      <c r="E19" s="611"/>
      <c r="F19" s="616"/>
      <c r="G19" s="268"/>
      <c r="H19" s="611" t="s">
        <v>2054</v>
      </c>
      <c r="I19" s="611"/>
      <c r="J19" s="611"/>
      <c r="K19" s="611"/>
      <c r="L19" s="268"/>
      <c r="M19" s="615"/>
      <c r="N19" s="611"/>
      <c r="O19" s="611"/>
      <c r="P19" s="611"/>
      <c r="Q19" s="611"/>
      <c r="R19" s="611"/>
      <c r="S19" s="616"/>
    </row>
    <row r="20" spans="1:19" x14ac:dyDescent="0.3">
      <c r="A20" s="270"/>
      <c r="B20" s="268"/>
      <c r="C20" s="615"/>
      <c r="D20" s="611"/>
      <c r="E20" s="611"/>
      <c r="F20" s="616"/>
      <c r="G20" s="268"/>
      <c r="H20" s="611"/>
      <c r="I20" s="611"/>
      <c r="J20" s="611"/>
      <c r="K20" s="611"/>
      <c r="L20" s="268"/>
      <c r="M20" s="615"/>
      <c r="N20" s="611"/>
      <c r="O20" s="611"/>
      <c r="P20" s="611"/>
      <c r="Q20" s="611"/>
      <c r="R20" s="611"/>
      <c r="S20" s="616"/>
    </row>
    <row r="21" spans="1:19" x14ac:dyDescent="0.3">
      <c r="A21" s="270"/>
      <c r="B21" s="268"/>
      <c r="C21" s="615"/>
      <c r="D21" s="611"/>
      <c r="E21" s="611"/>
      <c r="F21" s="616"/>
      <c r="G21" s="268"/>
      <c r="H21" s="611"/>
      <c r="I21" s="611"/>
      <c r="J21" s="611"/>
      <c r="K21" s="611"/>
      <c r="L21" s="268"/>
      <c r="M21" s="615"/>
      <c r="N21" s="611"/>
      <c r="O21" s="611"/>
      <c r="P21" s="611"/>
      <c r="Q21" s="611"/>
      <c r="R21" s="611"/>
      <c r="S21" s="616"/>
    </row>
    <row r="22" spans="1:19" x14ac:dyDescent="0.3">
      <c r="A22" s="270"/>
      <c r="B22" s="268"/>
      <c r="C22" s="615"/>
      <c r="D22" s="611"/>
      <c r="E22" s="611"/>
      <c r="F22" s="616"/>
      <c r="G22" s="268"/>
      <c r="H22" s="611"/>
      <c r="I22" s="611"/>
      <c r="J22" s="611"/>
      <c r="K22" s="611"/>
      <c r="L22" s="268"/>
      <c r="M22" s="615"/>
      <c r="N22" s="611"/>
      <c r="O22" s="611"/>
      <c r="P22" s="611"/>
      <c r="Q22" s="611"/>
      <c r="R22" s="611"/>
      <c r="S22" s="616"/>
    </row>
    <row r="23" spans="1:19" x14ac:dyDescent="0.3">
      <c r="A23" s="270"/>
      <c r="B23" s="268"/>
      <c r="C23" s="615"/>
      <c r="D23" s="611"/>
      <c r="E23" s="611"/>
      <c r="F23" s="616"/>
      <c r="G23" s="268"/>
      <c r="H23" s="611"/>
      <c r="I23" s="611"/>
      <c r="J23" s="611"/>
      <c r="K23" s="611"/>
      <c r="L23" s="268"/>
      <c r="M23" s="615"/>
      <c r="N23" s="611"/>
      <c r="O23" s="611"/>
      <c r="P23" s="611"/>
      <c r="Q23" s="611"/>
      <c r="R23" s="611"/>
      <c r="S23" s="616"/>
    </row>
    <row r="24" spans="1:19" x14ac:dyDescent="0.3">
      <c r="A24" s="270"/>
      <c r="B24" s="268"/>
      <c r="C24" s="615"/>
      <c r="D24" s="611"/>
      <c r="E24" s="611"/>
      <c r="F24" s="616"/>
      <c r="G24" s="268"/>
      <c r="H24" s="611"/>
      <c r="I24" s="611"/>
      <c r="J24" s="611"/>
      <c r="K24" s="611"/>
      <c r="L24" s="268"/>
      <c r="M24" s="615"/>
      <c r="N24" s="611"/>
      <c r="O24" s="611"/>
      <c r="P24" s="611"/>
      <c r="Q24" s="611"/>
      <c r="R24" s="611"/>
      <c r="S24" s="616"/>
    </row>
    <row r="25" spans="1:19" x14ac:dyDescent="0.3">
      <c r="A25" s="270"/>
      <c r="B25" s="268"/>
      <c r="C25" s="615"/>
      <c r="D25" s="611"/>
      <c r="E25" s="611"/>
      <c r="F25" s="616"/>
      <c r="G25" s="268"/>
      <c r="H25" s="611"/>
      <c r="I25" s="611"/>
      <c r="J25" s="611"/>
      <c r="K25" s="611"/>
      <c r="L25" s="268"/>
      <c r="M25" s="615"/>
      <c r="N25" s="611"/>
      <c r="O25" s="611"/>
      <c r="P25" s="611"/>
      <c r="Q25" s="611"/>
      <c r="R25" s="611"/>
      <c r="S25" s="616"/>
    </row>
    <row r="26" spans="1:19" x14ac:dyDescent="0.3">
      <c r="A26" s="270"/>
      <c r="B26" s="268"/>
      <c r="C26" s="615"/>
      <c r="D26" s="611"/>
      <c r="E26" s="611"/>
      <c r="F26" s="616"/>
      <c r="G26" s="268"/>
      <c r="H26" s="611"/>
      <c r="I26" s="611"/>
      <c r="J26" s="611"/>
      <c r="K26" s="611"/>
      <c r="L26" s="268"/>
      <c r="M26" s="615"/>
      <c r="N26" s="611"/>
      <c r="O26" s="611"/>
      <c r="P26" s="611"/>
      <c r="Q26" s="611"/>
      <c r="R26" s="611"/>
      <c r="S26" s="616"/>
    </row>
    <row r="27" spans="1:19" x14ac:dyDescent="0.3">
      <c r="A27" s="270"/>
      <c r="B27" s="268"/>
      <c r="C27" s="615"/>
      <c r="D27" s="611"/>
      <c r="E27" s="611"/>
      <c r="F27" s="616"/>
      <c r="G27" s="268"/>
      <c r="H27" s="268"/>
      <c r="I27" s="268"/>
      <c r="J27" s="268"/>
      <c r="K27" s="268"/>
      <c r="L27" s="268"/>
      <c r="M27" s="615"/>
      <c r="N27" s="611"/>
      <c r="O27" s="611"/>
      <c r="P27" s="611"/>
      <c r="Q27" s="611"/>
      <c r="R27" s="611"/>
      <c r="S27" s="616"/>
    </row>
    <row r="28" spans="1:19" x14ac:dyDescent="0.3">
      <c r="A28" s="270"/>
      <c r="B28" s="268"/>
      <c r="C28" s="615"/>
      <c r="D28" s="611"/>
      <c r="E28" s="611"/>
      <c r="F28" s="616"/>
      <c r="G28" s="268"/>
      <c r="H28" s="268"/>
      <c r="I28" s="268"/>
      <c r="J28" s="268"/>
      <c r="K28" s="268"/>
      <c r="L28" s="268"/>
      <c r="M28" s="615"/>
      <c r="N28" s="611"/>
      <c r="O28" s="611"/>
      <c r="P28" s="611"/>
      <c r="Q28" s="611"/>
      <c r="R28" s="611"/>
      <c r="S28" s="616"/>
    </row>
    <row r="29" spans="1:19" x14ac:dyDescent="0.3">
      <c r="A29" s="270"/>
      <c r="B29" s="268"/>
      <c r="C29" s="615"/>
      <c r="D29" s="611"/>
      <c r="E29" s="611"/>
      <c r="F29" s="616"/>
      <c r="G29" s="268"/>
      <c r="H29" s="268"/>
      <c r="I29" s="268"/>
      <c r="J29" s="268"/>
      <c r="K29" s="268"/>
      <c r="L29" s="268"/>
      <c r="M29" s="615"/>
      <c r="N29" s="611"/>
      <c r="O29" s="611"/>
      <c r="P29" s="611"/>
      <c r="Q29" s="611"/>
      <c r="R29" s="611"/>
      <c r="S29" s="616"/>
    </row>
    <row r="30" spans="1:19" x14ac:dyDescent="0.3">
      <c r="A30" s="270"/>
      <c r="B30" s="268"/>
      <c r="C30" s="615"/>
      <c r="D30" s="611"/>
      <c r="E30" s="611"/>
      <c r="F30" s="616"/>
      <c r="G30" s="268"/>
      <c r="H30" s="268"/>
      <c r="I30" s="268"/>
      <c r="J30" s="268"/>
      <c r="K30" s="268"/>
      <c r="L30" s="268"/>
      <c r="M30" s="615"/>
      <c r="N30" s="611"/>
      <c r="O30" s="611"/>
      <c r="P30" s="611"/>
      <c r="Q30" s="611"/>
      <c r="R30" s="611"/>
      <c r="S30" s="616"/>
    </row>
    <row r="31" spans="1:19" ht="15" thickBot="1" x14ac:dyDescent="0.35">
      <c r="A31" s="270"/>
      <c r="B31" s="268"/>
      <c r="C31" s="617"/>
      <c r="D31" s="618"/>
      <c r="E31" s="618"/>
      <c r="F31" s="619"/>
      <c r="G31" s="268"/>
      <c r="H31" s="268"/>
      <c r="I31" s="268"/>
      <c r="J31" s="268"/>
      <c r="K31" s="268"/>
      <c r="L31" s="268"/>
      <c r="M31" s="615"/>
      <c r="N31" s="611"/>
      <c r="O31" s="611"/>
      <c r="P31" s="611"/>
      <c r="Q31" s="611"/>
      <c r="R31" s="611"/>
      <c r="S31" s="616"/>
    </row>
    <row r="32" spans="1:19" x14ac:dyDescent="0.3">
      <c r="A32" s="270"/>
      <c r="B32" s="268"/>
      <c r="C32" s="268"/>
      <c r="D32" s="268"/>
      <c r="E32" s="268"/>
      <c r="F32" s="268"/>
      <c r="G32" s="268"/>
      <c r="H32" s="268"/>
      <c r="I32" s="268"/>
      <c r="J32" s="268"/>
      <c r="K32" s="268"/>
      <c r="L32" s="268"/>
      <c r="M32" s="615"/>
      <c r="N32" s="611"/>
      <c r="O32" s="611"/>
      <c r="P32" s="611"/>
      <c r="Q32" s="611"/>
      <c r="R32" s="611"/>
      <c r="S32" s="616"/>
    </row>
    <row r="33" spans="1:19" ht="15" thickBot="1" x14ac:dyDescent="0.35">
      <c r="A33" s="621" t="s">
        <v>2047</v>
      </c>
      <c r="B33" s="602"/>
      <c r="C33" s="602"/>
      <c r="D33" s="602"/>
      <c r="E33" s="602"/>
      <c r="F33" s="602"/>
      <c r="G33" s="268"/>
      <c r="H33" s="268"/>
      <c r="I33" s="268"/>
      <c r="J33" s="268"/>
      <c r="K33" s="268"/>
      <c r="L33" s="268"/>
      <c r="M33" s="615"/>
      <c r="N33" s="611"/>
      <c r="O33" s="611"/>
      <c r="P33" s="611"/>
      <c r="Q33" s="611"/>
      <c r="R33" s="611"/>
      <c r="S33" s="616"/>
    </row>
    <row r="34" spans="1:19" x14ac:dyDescent="0.3">
      <c r="A34" s="627" t="s">
        <v>2060</v>
      </c>
      <c r="B34" s="628"/>
      <c r="C34" s="612" t="s">
        <v>2054</v>
      </c>
      <c r="D34" s="613"/>
      <c r="E34" s="613"/>
      <c r="F34" s="614"/>
      <c r="G34" s="268"/>
      <c r="H34" s="268"/>
      <c r="I34" s="268"/>
      <c r="J34" s="268"/>
      <c r="K34" s="268"/>
      <c r="L34" s="268"/>
      <c r="M34" s="615"/>
      <c r="N34" s="611"/>
      <c r="O34" s="611"/>
      <c r="P34" s="611"/>
      <c r="Q34" s="611"/>
      <c r="R34" s="611"/>
      <c r="S34" s="616"/>
    </row>
    <row r="35" spans="1:19" ht="15" thickBot="1" x14ac:dyDescent="0.35">
      <c r="A35" s="627"/>
      <c r="B35" s="628"/>
      <c r="C35" s="615"/>
      <c r="D35" s="611"/>
      <c r="E35" s="611"/>
      <c r="F35" s="616"/>
      <c r="G35" s="268"/>
      <c r="H35" s="268"/>
      <c r="I35" s="268"/>
      <c r="J35" s="268"/>
      <c r="K35" s="268"/>
      <c r="L35" s="268"/>
      <c r="M35" s="617"/>
      <c r="N35" s="618"/>
      <c r="O35" s="618"/>
      <c r="P35" s="618"/>
      <c r="Q35" s="618"/>
      <c r="R35" s="618"/>
      <c r="S35" s="619"/>
    </row>
    <row r="36" spans="1:19" x14ac:dyDescent="0.3">
      <c r="A36" s="627"/>
      <c r="B36" s="628"/>
      <c r="C36" s="615"/>
      <c r="D36" s="611"/>
      <c r="E36" s="611"/>
      <c r="F36" s="616"/>
      <c r="G36" s="268"/>
      <c r="H36" s="268"/>
      <c r="I36" s="268"/>
      <c r="J36" s="268"/>
      <c r="K36" s="268"/>
      <c r="L36" s="268"/>
      <c r="M36" s="268"/>
      <c r="N36" s="268"/>
      <c r="O36" s="268"/>
      <c r="P36" s="268"/>
      <c r="Q36" s="268"/>
      <c r="R36" s="268"/>
      <c r="S36" s="269"/>
    </row>
    <row r="37" spans="1:19" x14ac:dyDescent="0.3">
      <c r="A37" s="270"/>
      <c r="B37" s="268"/>
      <c r="C37" s="615"/>
      <c r="D37" s="611"/>
      <c r="E37" s="611"/>
      <c r="F37" s="616"/>
      <c r="G37" s="268"/>
      <c r="H37" s="268"/>
      <c r="I37" s="268"/>
      <c r="J37" s="268"/>
      <c r="K37" s="268"/>
      <c r="L37" s="268"/>
      <c r="M37" s="268"/>
      <c r="N37" s="268"/>
      <c r="O37" s="268"/>
      <c r="P37" s="268"/>
      <c r="Q37" s="268"/>
      <c r="R37" s="268"/>
      <c r="S37" s="269"/>
    </row>
    <row r="38" spans="1:19" x14ac:dyDescent="0.3">
      <c r="A38" s="270"/>
      <c r="B38" s="268"/>
      <c r="C38" s="615"/>
      <c r="D38" s="611"/>
      <c r="E38" s="611"/>
      <c r="F38" s="616"/>
      <c r="G38" s="268"/>
      <c r="H38" s="602" t="s">
        <v>2055</v>
      </c>
      <c r="I38" s="602"/>
      <c r="J38" s="602"/>
      <c r="K38" s="602"/>
      <c r="L38" s="602"/>
      <c r="M38" s="602"/>
      <c r="N38" s="602"/>
      <c r="O38" s="602"/>
      <c r="P38" s="602"/>
      <c r="Q38" s="602"/>
      <c r="R38" s="602"/>
      <c r="S38" s="603"/>
    </row>
    <row r="39" spans="1:19" ht="15" thickBot="1" x14ac:dyDescent="0.35">
      <c r="A39" s="270"/>
      <c r="B39" s="268"/>
      <c r="C39" s="615"/>
      <c r="D39" s="611"/>
      <c r="E39" s="611"/>
      <c r="F39" s="616"/>
      <c r="G39" s="268"/>
      <c r="H39" s="268"/>
      <c r="I39" s="268"/>
      <c r="J39" s="268"/>
      <c r="K39" s="268"/>
      <c r="L39" s="268"/>
      <c r="M39" s="268"/>
      <c r="N39" s="268"/>
      <c r="O39" s="268"/>
      <c r="P39" s="268"/>
      <c r="Q39" s="268"/>
      <c r="R39" s="268"/>
      <c r="S39" s="269"/>
    </row>
    <row r="40" spans="1:19" x14ac:dyDescent="0.3">
      <c r="A40" s="270"/>
      <c r="B40" s="268"/>
      <c r="C40" s="615"/>
      <c r="D40" s="611"/>
      <c r="E40" s="611"/>
      <c r="F40" s="616"/>
      <c r="G40" s="268"/>
      <c r="H40" s="602" t="s">
        <v>2057</v>
      </c>
      <c r="I40" s="602"/>
      <c r="J40" s="602"/>
      <c r="K40" s="268"/>
      <c r="L40" s="602" t="s">
        <v>2056</v>
      </c>
      <c r="M40" s="602"/>
      <c r="N40" s="602"/>
      <c r="O40" s="612" t="s">
        <v>2054</v>
      </c>
      <c r="P40" s="613"/>
      <c r="Q40" s="613"/>
      <c r="R40" s="613"/>
      <c r="S40" s="614"/>
    </row>
    <row r="41" spans="1:19" x14ac:dyDescent="0.3">
      <c r="A41" s="270"/>
      <c r="B41" s="268"/>
      <c r="C41" s="615"/>
      <c r="D41" s="611"/>
      <c r="E41" s="611"/>
      <c r="F41" s="616"/>
      <c r="G41" s="268"/>
      <c r="H41" s="625">
        <f>'Amend#2 Overview'!C8</f>
        <v>0</v>
      </c>
      <c r="I41" s="625"/>
      <c r="J41" s="625"/>
      <c r="K41" s="268"/>
      <c r="L41" s="626"/>
      <c r="M41" s="626"/>
      <c r="N41" s="626"/>
      <c r="O41" s="615"/>
      <c r="P41" s="611"/>
      <c r="Q41" s="611"/>
      <c r="R41" s="611"/>
      <c r="S41" s="616"/>
    </row>
    <row r="42" spans="1:19" x14ac:dyDescent="0.3">
      <c r="A42" s="270"/>
      <c r="B42" s="268"/>
      <c r="C42" s="615"/>
      <c r="D42" s="611"/>
      <c r="E42" s="611"/>
      <c r="F42" s="616"/>
      <c r="G42" s="268"/>
      <c r="H42" s="268"/>
      <c r="I42" s="268"/>
      <c r="J42" s="268"/>
      <c r="K42" s="268"/>
      <c r="L42" s="268"/>
      <c r="M42" s="268"/>
      <c r="N42" s="268"/>
      <c r="O42" s="615"/>
      <c r="P42" s="611"/>
      <c r="Q42" s="611"/>
      <c r="R42" s="611"/>
      <c r="S42" s="616"/>
    </row>
    <row r="43" spans="1:19" x14ac:dyDescent="0.3">
      <c r="A43" s="270"/>
      <c r="B43" s="268"/>
      <c r="C43" s="615"/>
      <c r="D43" s="611"/>
      <c r="E43" s="611"/>
      <c r="F43" s="616"/>
      <c r="G43" s="268"/>
      <c r="H43" s="602" t="s">
        <v>2058</v>
      </c>
      <c r="I43" s="602"/>
      <c r="J43" s="602"/>
      <c r="K43" s="268"/>
      <c r="L43" s="602" t="s">
        <v>2059</v>
      </c>
      <c r="M43" s="602"/>
      <c r="N43" s="602"/>
      <c r="O43" s="615"/>
      <c r="P43" s="611"/>
      <c r="Q43" s="611"/>
      <c r="R43" s="611"/>
      <c r="S43" s="616"/>
    </row>
    <row r="44" spans="1:19" ht="15" thickBot="1" x14ac:dyDescent="0.35">
      <c r="A44" s="270"/>
      <c r="B44" s="268"/>
      <c r="C44" s="615"/>
      <c r="D44" s="611"/>
      <c r="E44" s="611"/>
      <c r="F44" s="616"/>
      <c r="G44" s="268"/>
      <c r="H44" s="601" t="s">
        <v>2061</v>
      </c>
      <c r="I44" s="601"/>
      <c r="J44" s="601"/>
      <c r="K44" s="268"/>
      <c r="L44" s="601"/>
      <c r="M44" s="601"/>
      <c r="N44" s="601"/>
      <c r="O44" s="617"/>
      <c r="P44" s="618"/>
      <c r="Q44" s="618"/>
      <c r="R44" s="618"/>
      <c r="S44" s="619"/>
    </row>
    <row r="45" spans="1:19" ht="15" thickBot="1" x14ac:dyDescent="0.35">
      <c r="A45" s="270"/>
      <c r="B45" s="268"/>
      <c r="C45" s="615"/>
      <c r="D45" s="611"/>
      <c r="E45" s="611"/>
      <c r="F45" s="616"/>
      <c r="G45" s="268"/>
      <c r="H45" s="268"/>
      <c r="I45" s="268"/>
      <c r="J45" s="268"/>
      <c r="K45" s="268"/>
      <c r="L45" s="268"/>
      <c r="M45" s="268"/>
      <c r="N45" s="268"/>
      <c r="O45" s="268"/>
      <c r="P45" s="268"/>
      <c r="Q45" s="268"/>
      <c r="R45" s="268"/>
      <c r="S45" s="269"/>
    </row>
    <row r="46" spans="1:19" x14ac:dyDescent="0.3">
      <c r="A46" s="270"/>
      <c r="B46" s="268"/>
      <c r="C46" s="615"/>
      <c r="D46" s="611"/>
      <c r="E46" s="611"/>
      <c r="F46" s="616"/>
      <c r="G46" s="268"/>
      <c r="H46" s="602" t="s">
        <v>2057</v>
      </c>
      <c r="I46" s="602"/>
      <c r="J46" s="602"/>
      <c r="K46" s="268"/>
      <c r="L46" s="602" t="s">
        <v>2056</v>
      </c>
      <c r="M46" s="602"/>
      <c r="N46" s="602"/>
      <c r="O46" s="612" t="s">
        <v>2054</v>
      </c>
      <c r="P46" s="613"/>
      <c r="Q46" s="613"/>
      <c r="R46" s="613"/>
      <c r="S46" s="614"/>
    </row>
    <row r="47" spans="1:19" x14ac:dyDescent="0.3">
      <c r="A47" s="270"/>
      <c r="B47" s="268"/>
      <c r="C47" s="615"/>
      <c r="D47" s="611"/>
      <c r="E47" s="611"/>
      <c r="F47" s="616"/>
      <c r="G47" s="268"/>
      <c r="H47" s="625">
        <f>'Amend#2 Overview'!C8</f>
        <v>0</v>
      </c>
      <c r="I47" s="625"/>
      <c r="J47" s="625"/>
      <c r="K47" s="268"/>
      <c r="L47" s="626"/>
      <c r="M47" s="626"/>
      <c r="N47" s="626"/>
      <c r="O47" s="615"/>
      <c r="P47" s="611"/>
      <c r="Q47" s="611"/>
      <c r="R47" s="611"/>
      <c r="S47" s="616"/>
    </row>
    <row r="48" spans="1:19" x14ac:dyDescent="0.3">
      <c r="A48" s="270"/>
      <c r="B48" s="268"/>
      <c r="C48" s="615"/>
      <c r="D48" s="611"/>
      <c r="E48" s="611"/>
      <c r="F48" s="616"/>
      <c r="G48" s="268"/>
      <c r="H48" s="268"/>
      <c r="I48" s="268"/>
      <c r="J48" s="268"/>
      <c r="K48" s="268"/>
      <c r="L48" s="268"/>
      <c r="M48" s="268"/>
      <c r="N48" s="268"/>
      <c r="O48" s="615"/>
      <c r="P48" s="611"/>
      <c r="Q48" s="611"/>
      <c r="R48" s="611"/>
      <c r="S48" s="616"/>
    </row>
    <row r="49" spans="1:19" x14ac:dyDescent="0.3">
      <c r="A49" s="270"/>
      <c r="B49" s="268"/>
      <c r="C49" s="615"/>
      <c r="D49" s="611"/>
      <c r="E49" s="611"/>
      <c r="F49" s="616"/>
      <c r="G49" s="268"/>
      <c r="H49" s="602" t="s">
        <v>2058</v>
      </c>
      <c r="I49" s="602"/>
      <c r="J49" s="602"/>
      <c r="K49" s="268"/>
      <c r="L49" s="602" t="s">
        <v>2059</v>
      </c>
      <c r="M49" s="602"/>
      <c r="N49" s="602"/>
      <c r="O49" s="615"/>
      <c r="P49" s="611"/>
      <c r="Q49" s="611"/>
      <c r="R49" s="611"/>
      <c r="S49" s="616"/>
    </row>
    <row r="50" spans="1:19" ht="15" thickBot="1" x14ac:dyDescent="0.35">
      <c r="A50" s="270"/>
      <c r="B50" s="268"/>
      <c r="C50" s="615"/>
      <c r="D50" s="611"/>
      <c r="E50" s="611"/>
      <c r="F50" s="616"/>
      <c r="G50" s="268"/>
      <c r="H50" s="601" t="s">
        <v>2061</v>
      </c>
      <c r="I50" s="601"/>
      <c r="J50" s="601"/>
      <c r="K50" s="268"/>
      <c r="L50" s="601"/>
      <c r="M50" s="601"/>
      <c r="N50" s="601"/>
      <c r="O50" s="617"/>
      <c r="P50" s="618"/>
      <c r="Q50" s="618"/>
      <c r="R50" s="618"/>
      <c r="S50" s="619"/>
    </row>
    <row r="51" spans="1:19" ht="15" thickBot="1" x14ac:dyDescent="0.35">
      <c r="A51" s="270"/>
      <c r="B51" s="268"/>
      <c r="C51" s="617"/>
      <c r="D51" s="618"/>
      <c r="E51" s="618"/>
      <c r="F51" s="619"/>
      <c r="G51" s="268"/>
      <c r="H51" s="268"/>
      <c r="I51" s="268"/>
      <c r="J51" s="268"/>
      <c r="K51" s="268"/>
      <c r="L51" s="268"/>
      <c r="M51" s="268"/>
      <c r="N51" s="268"/>
      <c r="O51" s="268"/>
      <c r="P51" s="268"/>
      <c r="Q51" s="268"/>
      <c r="R51" s="268"/>
      <c r="S51" s="269"/>
    </row>
    <row r="52" spans="1:19" x14ac:dyDescent="0.3">
      <c r="A52" s="270"/>
      <c r="B52" s="268"/>
      <c r="C52" s="268"/>
      <c r="D52" s="268"/>
      <c r="E52" s="268"/>
      <c r="F52" s="268"/>
      <c r="G52" s="268"/>
      <c r="H52" s="602" t="s">
        <v>2057</v>
      </c>
      <c r="I52" s="602"/>
      <c r="J52" s="602"/>
      <c r="K52" s="268"/>
      <c r="L52" s="602" t="s">
        <v>2056</v>
      </c>
      <c r="M52" s="602"/>
      <c r="N52" s="602"/>
      <c r="O52" s="612" t="s">
        <v>2054</v>
      </c>
      <c r="P52" s="613"/>
      <c r="Q52" s="613"/>
      <c r="R52" s="613"/>
      <c r="S52" s="614"/>
    </row>
    <row r="53" spans="1:19" ht="15" thickBot="1" x14ac:dyDescent="0.35">
      <c r="A53" s="621" t="s">
        <v>2048</v>
      </c>
      <c r="B53" s="602"/>
      <c r="C53" s="602"/>
      <c r="D53" s="602"/>
      <c r="E53" s="602"/>
      <c r="F53" s="602"/>
      <c r="G53" s="268"/>
      <c r="H53" s="625">
        <f>'Amend#2 Overview'!C8</f>
        <v>0</v>
      </c>
      <c r="I53" s="625"/>
      <c r="J53" s="625"/>
      <c r="K53" s="268"/>
      <c r="L53" s="626"/>
      <c r="M53" s="626"/>
      <c r="N53" s="626"/>
      <c r="O53" s="615"/>
      <c r="P53" s="611"/>
      <c r="Q53" s="611"/>
      <c r="R53" s="611"/>
      <c r="S53" s="616"/>
    </row>
    <row r="54" spans="1:19" x14ac:dyDescent="0.3">
      <c r="A54" s="627" t="s">
        <v>2060</v>
      </c>
      <c r="B54" s="628"/>
      <c r="C54" s="612" t="s">
        <v>2054</v>
      </c>
      <c r="D54" s="613"/>
      <c r="E54" s="613"/>
      <c r="F54" s="614"/>
      <c r="G54" s="268"/>
      <c r="H54" s="268"/>
      <c r="I54" s="268"/>
      <c r="J54" s="268"/>
      <c r="K54" s="268"/>
      <c r="L54" s="268"/>
      <c r="M54" s="268"/>
      <c r="N54" s="268"/>
      <c r="O54" s="615"/>
      <c r="P54" s="611"/>
      <c r="Q54" s="611"/>
      <c r="R54" s="611"/>
      <c r="S54" s="616"/>
    </row>
    <row r="55" spans="1:19" x14ac:dyDescent="0.3">
      <c r="A55" s="627"/>
      <c r="B55" s="628"/>
      <c r="C55" s="615"/>
      <c r="D55" s="611"/>
      <c r="E55" s="611"/>
      <c r="F55" s="616"/>
      <c r="G55" s="268"/>
      <c r="H55" s="602" t="s">
        <v>2058</v>
      </c>
      <c r="I55" s="602"/>
      <c r="J55" s="602"/>
      <c r="K55" s="268"/>
      <c r="L55" s="602" t="s">
        <v>2059</v>
      </c>
      <c r="M55" s="602"/>
      <c r="N55" s="602"/>
      <c r="O55" s="615"/>
      <c r="P55" s="611"/>
      <c r="Q55" s="611"/>
      <c r="R55" s="611"/>
      <c r="S55" s="616"/>
    </row>
    <row r="56" spans="1:19" ht="15" thickBot="1" x14ac:dyDescent="0.35">
      <c r="A56" s="627"/>
      <c r="B56" s="628"/>
      <c r="C56" s="615"/>
      <c r="D56" s="611"/>
      <c r="E56" s="611"/>
      <c r="F56" s="616"/>
      <c r="G56" s="268"/>
      <c r="H56" s="601" t="s">
        <v>2061</v>
      </c>
      <c r="I56" s="601"/>
      <c r="J56" s="601"/>
      <c r="K56" s="268"/>
      <c r="L56" s="601"/>
      <c r="M56" s="601"/>
      <c r="N56" s="601"/>
      <c r="O56" s="617"/>
      <c r="P56" s="618"/>
      <c r="Q56" s="618"/>
      <c r="R56" s="618"/>
      <c r="S56" s="619"/>
    </row>
    <row r="57" spans="1:19" ht="15" thickBot="1" x14ac:dyDescent="0.35">
      <c r="A57" s="270"/>
      <c r="B57" s="268"/>
      <c r="C57" s="615"/>
      <c r="D57" s="611"/>
      <c r="E57" s="611"/>
      <c r="F57" s="616"/>
      <c r="G57" s="268"/>
      <c r="H57" s="268"/>
      <c r="I57" s="268"/>
      <c r="J57" s="268"/>
      <c r="K57" s="268"/>
      <c r="L57" s="268"/>
      <c r="M57" s="268"/>
      <c r="N57" s="268"/>
      <c r="O57" s="268"/>
      <c r="P57" s="268"/>
      <c r="Q57" s="268"/>
      <c r="R57" s="268"/>
      <c r="S57" s="269"/>
    </row>
    <row r="58" spans="1:19" x14ac:dyDescent="0.3">
      <c r="A58" s="270"/>
      <c r="B58" s="268"/>
      <c r="C58" s="615"/>
      <c r="D58" s="611"/>
      <c r="E58" s="611"/>
      <c r="F58" s="616"/>
      <c r="G58" s="268"/>
      <c r="H58" s="602" t="s">
        <v>2057</v>
      </c>
      <c r="I58" s="602"/>
      <c r="J58" s="602"/>
      <c r="K58" s="268"/>
      <c r="L58" s="602" t="s">
        <v>2056</v>
      </c>
      <c r="M58" s="602"/>
      <c r="N58" s="602"/>
      <c r="O58" s="612" t="s">
        <v>2054</v>
      </c>
      <c r="P58" s="613"/>
      <c r="Q58" s="613"/>
      <c r="R58" s="613"/>
      <c r="S58" s="614"/>
    </row>
    <row r="59" spans="1:19" x14ac:dyDescent="0.3">
      <c r="A59" s="270"/>
      <c r="B59" s="268"/>
      <c r="C59" s="615"/>
      <c r="D59" s="611"/>
      <c r="E59" s="611"/>
      <c r="F59" s="616"/>
      <c r="G59" s="268"/>
      <c r="H59" s="625">
        <f>'Amend#2 Overview'!C8</f>
        <v>0</v>
      </c>
      <c r="I59" s="625"/>
      <c r="J59" s="625"/>
      <c r="K59" s="268"/>
      <c r="L59" s="626"/>
      <c r="M59" s="626"/>
      <c r="N59" s="626"/>
      <c r="O59" s="615"/>
      <c r="P59" s="611"/>
      <c r="Q59" s="611"/>
      <c r="R59" s="611"/>
      <c r="S59" s="616"/>
    </row>
    <row r="60" spans="1:19" x14ac:dyDescent="0.3">
      <c r="A60" s="270"/>
      <c r="B60" s="268"/>
      <c r="C60" s="615"/>
      <c r="D60" s="611"/>
      <c r="E60" s="611"/>
      <c r="F60" s="616"/>
      <c r="G60" s="268"/>
      <c r="H60" s="268"/>
      <c r="I60" s="268"/>
      <c r="J60" s="268"/>
      <c r="K60" s="268"/>
      <c r="L60" s="268"/>
      <c r="M60" s="268"/>
      <c r="N60" s="268"/>
      <c r="O60" s="615"/>
      <c r="P60" s="611"/>
      <c r="Q60" s="611"/>
      <c r="R60" s="611"/>
      <c r="S60" s="616"/>
    </row>
    <row r="61" spans="1:19" x14ac:dyDescent="0.3">
      <c r="A61" s="270"/>
      <c r="B61" s="268"/>
      <c r="C61" s="615"/>
      <c r="D61" s="611"/>
      <c r="E61" s="611"/>
      <c r="F61" s="616"/>
      <c r="G61" s="268"/>
      <c r="H61" s="602" t="s">
        <v>2058</v>
      </c>
      <c r="I61" s="602"/>
      <c r="J61" s="602"/>
      <c r="K61" s="268"/>
      <c r="L61" s="602" t="s">
        <v>2059</v>
      </c>
      <c r="M61" s="602"/>
      <c r="N61" s="602"/>
      <c r="O61" s="615"/>
      <c r="P61" s="611"/>
      <c r="Q61" s="611"/>
      <c r="R61" s="611"/>
      <c r="S61" s="616"/>
    </row>
    <row r="62" spans="1:19" ht="15" thickBot="1" x14ac:dyDescent="0.35">
      <c r="A62" s="270"/>
      <c r="B62" s="268"/>
      <c r="C62" s="615"/>
      <c r="D62" s="611"/>
      <c r="E62" s="611"/>
      <c r="F62" s="616"/>
      <c r="G62" s="268"/>
      <c r="H62" s="601" t="s">
        <v>2061</v>
      </c>
      <c r="I62" s="601"/>
      <c r="J62" s="601"/>
      <c r="K62" s="268"/>
      <c r="L62" s="601"/>
      <c r="M62" s="601"/>
      <c r="N62" s="601"/>
      <c r="O62" s="617"/>
      <c r="P62" s="618"/>
      <c r="Q62" s="618"/>
      <c r="R62" s="618"/>
      <c r="S62" s="619"/>
    </row>
    <row r="63" spans="1:19" x14ac:dyDescent="0.3">
      <c r="A63" s="270"/>
      <c r="B63" s="268"/>
      <c r="C63" s="615"/>
      <c r="D63" s="611"/>
      <c r="E63" s="611"/>
      <c r="F63" s="616"/>
      <c r="G63" s="268"/>
      <c r="H63" s="268"/>
      <c r="I63" s="268"/>
      <c r="J63" s="268"/>
      <c r="K63" s="268"/>
      <c r="L63" s="268"/>
      <c r="M63" s="268"/>
      <c r="N63" s="268"/>
      <c r="O63" s="268"/>
      <c r="P63" s="268"/>
      <c r="Q63" s="268"/>
      <c r="R63" s="268"/>
      <c r="S63" s="269"/>
    </row>
    <row r="64" spans="1:19" x14ac:dyDescent="0.3">
      <c r="A64" s="270"/>
      <c r="B64" s="268"/>
      <c r="C64" s="615"/>
      <c r="D64" s="611"/>
      <c r="E64" s="611"/>
      <c r="F64" s="616"/>
      <c r="G64" s="268"/>
      <c r="H64" s="268"/>
      <c r="I64" s="268"/>
      <c r="J64" s="268"/>
      <c r="K64" s="268"/>
      <c r="L64" s="268"/>
      <c r="M64" s="268"/>
      <c r="N64" s="268"/>
      <c r="O64" s="268"/>
      <c r="P64" s="268"/>
      <c r="Q64" s="268"/>
      <c r="R64" s="268"/>
      <c r="S64" s="269"/>
    </row>
    <row r="65" spans="1:19" x14ac:dyDescent="0.3">
      <c r="A65" s="270"/>
      <c r="B65" s="268"/>
      <c r="C65" s="615"/>
      <c r="D65" s="611"/>
      <c r="E65" s="611"/>
      <c r="F65" s="616"/>
      <c r="G65" s="268"/>
      <c r="H65" s="268"/>
      <c r="I65" s="268"/>
      <c r="J65" s="268"/>
      <c r="K65" s="268"/>
      <c r="L65" s="268"/>
      <c r="M65" s="268"/>
      <c r="N65" s="268"/>
      <c r="O65" s="268"/>
      <c r="P65" s="268"/>
      <c r="Q65" s="268"/>
      <c r="R65" s="268"/>
      <c r="S65" s="269"/>
    </row>
    <row r="66" spans="1:19" x14ac:dyDescent="0.3">
      <c r="A66" s="270"/>
      <c r="B66" s="268"/>
      <c r="C66" s="615"/>
      <c r="D66" s="611"/>
      <c r="E66" s="611"/>
      <c r="F66" s="616"/>
      <c r="G66" s="268"/>
      <c r="H66" s="268"/>
      <c r="I66" s="268"/>
      <c r="J66" s="268"/>
      <c r="K66" s="268"/>
      <c r="L66" s="268"/>
      <c r="M66" s="268"/>
      <c r="N66" s="268"/>
      <c r="O66" s="268"/>
      <c r="P66" s="268"/>
      <c r="Q66" s="268"/>
      <c r="R66" s="268"/>
      <c r="S66" s="269"/>
    </row>
    <row r="67" spans="1:19" x14ac:dyDescent="0.3">
      <c r="A67" s="270"/>
      <c r="B67" s="268"/>
      <c r="C67" s="615"/>
      <c r="D67" s="611"/>
      <c r="E67" s="611"/>
      <c r="F67" s="616"/>
      <c r="G67" s="268"/>
      <c r="H67" s="268"/>
      <c r="I67" s="268"/>
      <c r="J67" s="268"/>
      <c r="K67" s="268"/>
      <c r="L67" s="268"/>
      <c r="M67" s="268"/>
      <c r="N67" s="268"/>
      <c r="O67" s="268"/>
      <c r="P67" s="268"/>
      <c r="Q67" s="268"/>
      <c r="R67" s="268"/>
      <c r="S67" s="269"/>
    </row>
    <row r="68" spans="1:19" x14ac:dyDescent="0.3">
      <c r="A68" s="270"/>
      <c r="B68" s="268"/>
      <c r="C68" s="615"/>
      <c r="D68" s="611"/>
      <c r="E68" s="611"/>
      <c r="F68" s="616"/>
      <c r="G68" s="268"/>
      <c r="H68" s="268"/>
      <c r="I68" s="268"/>
      <c r="J68" s="268"/>
      <c r="K68" s="268"/>
      <c r="L68" s="268"/>
      <c r="M68" s="268"/>
      <c r="N68" s="268"/>
      <c r="O68" s="268"/>
      <c r="P68" s="268"/>
      <c r="Q68" s="268"/>
      <c r="R68" s="268"/>
      <c r="S68" s="269"/>
    </row>
    <row r="69" spans="1:19" x14ac:dyDescent="0.3">
      <c r="A69" s="270"/>
      <c r="B69" s="268"/>
      <c r="C69" s="615"/>
      <c r="D69" s="611"/>
      <c r="E69" s="611"/>
      <c r="F69" s="616"/>
      <c r="G69" s="268"/>
      <c r="H69" s="268"/>
      <c r="I69" s="268"/>
      <c r="J69" s="268"/>
      <c r="K69" s="268"/>
      <c r="L69" s="268"/>
      <c r="M69" s="268"/>
      <c r="N69" s="268"/>
      <c r="O69" s="268"/>
      <c r="P69" s="268"/>
      <c r="Q69" s="268"/>
      <c r="R69" s="268"/>
      <c r="S69" s="269"/>
    </row>
    <row r="70" spans="1:19" x14ac:dyDescent="0.3">
      <c r="A70" s="270"/>
      <c r="B70" s="268"/>
      <c r="C70" s="615"/>
      <c r="D70" s="611"/>
      <c r="E70" s="611"/>
      <c r="F70" s="616"/>
      <c r="G70" s="268"/>
      <c r="H70" s="268"/>
      <c r="I70" s="268"/>
      <c r="J70" s="268"/>
      <c r="K70" s="268"/>
      <c r="L70" s="268"/>
      <c r="M70" s="268"/>
      <c r="N70" s="268"/>
      <c r="O70" s="268"/>
      <c r="P70" s="268"/>
      <c r="Q70" s="268"/>
      <c r="R70" s="268"/>
      <c r="S70" s="269"/>
    </row>
    <row r="71" spans="1:19" ht="15" thickBot="1" x14ac:dyDescent="0.35">
      <c r="A71" s="272"/>
      <c r="B71" s="273"/>
      <c r="C71" s="617"/>
      <c r="D71" s="618"/>
      <c r="E71" s="618"/>
      <c r="F71" s="619"/>
      <c r="G71" s="273"/>
      <c r="H71" s="273"/>
      <c r="I71" s="273"/>
      <c r="J71" s="273"/>
      <c r="K71" s="273"/>
      <c r="L71" s="273"/>
      <c r="M71" s="273"/>
      <c r="N71" s="273"/>
      <c r="O71" s="273"/>
      <c r="P71" s="273"/>
      <c r="Q71" s="273"/>
      <c r="R71" s="273"/>
      <c r="S71" s="274"/>
    </row>
    <row r="72" spans="1:19" x14ac:dyDescent="0.3">
      <c r="G72" s="174"/>
    </row>
  </sheetData>
  <sheetProtection algorithmName="SHA-512" hashValue="/vVulYDub/Tp/x/dChtyTfdqe21SipsS4VxTI38rKC/Sj0WJhsmvfhFxoiuDIOWWKqj/+yBtB9okb7Qls8FNbg==" saltValue="d82cCANqszVuhtxL66Aqqg==" spinCount="100000" sheet="1" objects="1" scenarios="1" selectLockedCells="1"/>
  <mergeCells count="78">
    <mergeCell ref="L62:N62"/>
    <mergeCell ref="H56:J56"/>
    <mergeCell ref="L56:N56"/>
    <mergeCell ref="H58:J58"/>
    <mergeCell ref="L58:N58"/>
    <mergeCell ref="H52:J52"/>
    <mergeCell ref="L52:N52"/>
    <mergeCell ref="O52:S56"/>
    <mergeCell ref="A53:F53"/>
    <mergeCell ref="H53:J53"/>
    <mergeCell ref="L53:N53"/>
    <mergeCell ref="A54:B56"/>
    <mergeCell ref="C54:F71"/>
    <mergeCell ref="H55:J55"/>
    <mergeCell ref="L55:N55"/>
    <mergeCell ref="O58:S62"/>
    <mergeCell ref="H59:J59"/>
    <mergeCell ref="L59:N59"/>
    <mergeCell ref="H61:J61"/>
    <mergeCell ref="L61:N61"/>
    <mergeCell ref="H62:J62"/>
    <mergeCell ref="L46:N46"/>
    <mergeCell ref="O46:S50"/>
    <mergeCell ref="H47:J47"/>
    <mergeCell ref="L47:N47"/>
    <mergeCell ref="H49:J49"/>
    <mergeCell ref="L49:N49"/>
    <mergeCell ref="H50:J50"/>
    <mergeCell ref="L50:N50"/>
    <mergeCell ref="A33:F33"/>
    <mergeCell ref="A34:B36"/>
    <mergeCell ref="C34:F51"/>
    <mergeCell ref="H38:S38"/>
    <mergeCell ref="H40:J40"/>
    <mergeCell ref="M18:S35"/>
    <mergeCell ref="H19:K26"/>
    <mergeCell ref="L40:N40"/>
    <mergeCell ref="O40:S44"/>
    <mergeCell ref="H41:J41"/>
    <mergeCell ref="L41:N41"/>
    <mergeCell ref="H43:J43"/>
    <mergeCell ref="L43:N43"/>
    <mergeCell ref="H44:J44"/>
    <mergeCell ref="L44:N44"/>
    <mergeCell ref="H46:J46"/>
    <mergeCell ref="A11:B11"/>
    <mergeCell ref="E11:F11"/>
    <mergeCell ref="A13:F13"/>
    <mergeCell ref="H13:S14"/>
    <mergeCell ref="A14:B16"/>
    <mergeCell ref="C14:F31"/>
    <mergeCell ref="H15:K15"/>
    <mergeCell ref="L15:O15"/>
    <mergeCell ref="P15:S15"/>
    <mergeCell ref="H16:K16"/>
    <mergeCell ref="L16:O16"/>
    <mergeCell ref="P16:S16"/>
    <mergeCell ref="H18:K18"/>
    <mergeCell ref="A8:B8"/>
    <mergeCell ref="E8:F8"/>
    <mergeCell ref="A9:B9"/>
    <mergeCell ref="E9:F9"/>
    <mergeCell ref="A10:B10"/>
    <mergeCell ref="E10:F10"/>
    <mergeCell ref="A5:B5"/>
    <mergeCell ref="C5:D5"/>
    <mergeCell ref="E5:F5"/>
    <mergeCell ref="A6:B6"/>
    <mergeCell ref="C6:D6"/>
    <mergeCell ref="E6:F6"/>
    <mergeCell ref="A4:B4"/>
    <mergeCell ref="C4:D4"/>
    <mergeCell ref="E4:F4"/>
    <mergeCell ref="A1:S1"/>
    <mergeCell ref="E2:F2"/>
    <mergeCell ref="A3:B3"/>
    <mergeCell ref="C3:D3"/>
    <mergeCell ref="E3:F3"/>
  </mergeCells>
  <dataValidations count="6">
    <dataValidation type="list" allowBlank="1" showInputMessage="1" showErrorMessage="1" sqref="B2" xr:uid="{7512B4B7-B56C-4A8C-A0E4-889204F8DFE3}">
      <formula1>"Choose one:,Adis Coulibaly, Brittany Kronmiller, Dwayne Marshall, Frank Chiki, Graham Collins, Meg Richert, Mitch Fortune, Tracie Mansfield"</formula1>
    </dataValidation>
    <dataValidation type="list" allowBlank="1" showInputMessage="1" showErrorMessage="1" sqref="D9" xr:uid="{B290702E-CE84-461B-AFB0-59D4E5886C79}">
      <formula1>"Yes, No, Not Applicable"</formula1>
    </dataValidation>
    <dataValidation type="list" allowBlank="1" showInputMessage="1" showErrorMessage="1" sqref="A54:B54 A34:B34 A14:B16" xr:uid="{FC6A88A7-DB49-46F3-9A7F-86A69855B570}">
      <formula1>"Choose One:,Not Applicable,Budget and descriptions are complete.,Revisions needed."</formula1>
    </dataValidation>
    <dataValidation type="list" allowBlank="1" showInputMessage="1" showErrorMessage="1" sqref="H44 H50 H56 H62" xr:uid="{470F5D35-ECB7-4DB6-957B-EC0246043ECE}">
      <formula1>"Choose one:,Sent E-mail, Left Voice Mail, Application Revision in Process, Revision Complete"</formula1>
    </dataValidation>
    <dataValidation type="list" allowBlank="1" showInputMessage="1" showErrorMessage="1" sqref="A9:B9 E9:F9" xr:uid="{CF6CB679-72FC-462C-8506-79B8C26CCD94}">
      <formula1>"Choose One:,Yes, No, Not Applicable"</formula1>
    </dataValidation>
    <dataValidation type="list" allowBlank="1" showInputMessage="1" showErrorMessage="1" sqref="H16:S16" xr:uid="{68D0349C-53C4-4650-9C15-81F8ED502C05}">
      <formula1>"Choose One:,Yes, No, Not Applicable, 0 Participating"</formula1>
    </dataValidation>
  </dataValidations>
  <pageMargins left="0.7" right="0.7" top="0.75" bottom="0.75" header="0.3" footer="0.3"/>
  <pageSetup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96C6A-71AD-4EF3-8EBD-7A19DA6AC4D6}">
  <sheetPr codeName="Sheet21">
    <tabColor rgb="FF009999"/>
    <pageSetUpPr fitToPage="1"/>
  </sheetPr>
  <dimension ref="A1:M46"/>
  <sheetViews>
    <sheetView topLeftCell="A28" zoomScaleNormal="100" workbookViewId="0">
      <selection activeCell="D46" sqref="D46"/>
    </sheetView>
  </sheetViews>
  <sheetFormatPr defaultColWidth="9.109375" defaultRowHeight="14.4" x14ac:dyDescent="0.3"/>
  <cols>
    <col min="1" max="1" width="43.109375" style="14" customWidth="1"/>
    <col min="2" max="4" width="16.6640625" style="14" customWidth="1"/>
    <col min="5" max="5" width="4.5546875" style="14" customWidth="1"/>
    <col min="6" max="16384" width="9.109375" style="14"/>
  </cols>
  <sheetData>
    <row r="1" spans="1:13" x14ac:dyDescent="0.3">
      <c r="A1" s="756" t="s">
        <v>148</v>
      </c>
      <c r="B1" s="757"/>
      <c r="C1" s="757"/>
      <c r="D1" s="758"/>
    </row>
    <row r="2" spans="1:13" x14ac:dyDescent="0.3">
      <c r="A2" s="759" t="s">
        <v>1996</v>
      </c>
      <c r="B2" s="760"/>
      <c r="C2" s="760"/>
      <c r="D2" s="761"/>
    </row>
    <row r="3" spans="1:13" x14ac:dyDescent="0.3">
      <c r="A3" s="759" t="s">
        <v>1981</v>
      </c>
      <c r="B3" s="760"/>
      <c r="C3" s="760"/>
      <c r="D3" s="761"/>
    </row>
    <row r="4" spans="1:13" x14ac:dyDescent="0.3">
      <c r="A4" s="137" t="s">
        <v>149</v>
      </c>
      <c r="B4" s="138">
        <f>'Reimbursement Form'!B4</f>
        <v>0</v>
      </c>
      <c r="C4" s="139" t="s">
        <v>2029</v>
      </c>
      <c r="D4" s="140"/>
    </row>
    <row r="5" spans="1:13" x14ac:dyDescent="0.3">
      <c r="A5" s="107" t="s">
        <v>150</v>
      </c>
      <c r="B5" s="668">
        <f>Overview!C4</f>
        <v>0</v>
      </c>
      <c r="C5" s="668"/>
      <c r="D5" s="108"/>
    </row>
    <row r="6" spans="1:13" x14ac:dyDescent="0.3">
      <c r="A6" s="109" t="s">
        <v>151</v>
      </c>
      <c r="B6" s="669" t="s">
        <v>152</v>
      </c>
      <c r="C6" s="669"/>
      <c r="D6" s="670"/>
    </row>
    <row r="7" spans="1:13" x14ac:dyDescent="0.3">
      <c r="A7" s="109" t="s">
        <v>153</v>
      </c>
      <c r="B7" s="650" t="s">
        <v>154</v>
      </c>
      <c r="C7" s="650"/>
      <c r="D7" s="651"/>
    </row>
    <row r="8" spans="1:13" x14ac:dyDescent="0.3">
      <c r="A8" s="265" t="s">
        <v>2031</v>
      </c>
      <c r="B8" s="652" t="s">
        <v>1995</v>
      </c>
      <c r="C8" s="652"/>
      <c r="D8" s="653"/>
    </row>
    <row r="9" spans="1:13" ht="15" thickBot="1" x14ac:dyDescent="0.35">
      <c r="A9" s="654" t="s">
        <v>155</v>
      </c>
      <c r="B9" s="655"/>
      <c r="C9" s="655"/>
      <c r="D9" s="656"/>
    </row>
    <row r="10" spans="1:13" ht="27.6" x14ac:dyDescent="0.3">
      <c r="A10" s="657" t="s">
        <v>417</v>
      </c>
      <c r="B10" s="659" t="s">
        <v>156</v>
      </c>
      <c r="C10" s="156" t="s">
        <v>157</v>
      </c>
      <c r="D10" s="660" t="s">
        <v>158</v>
      </c>
      <c r="F10" s="409" t="s">
        <v>2013</v>
      </c>
      <c r="G10" s="410"/>
      <c r="H10" s="410"/>
      <c r="I10" s="410"/>
      <c r="J10" s="410"/>
      <c r="K10" s="410"/>
      <c r="L10" s="410"/>
      <c r="M10" s="411"/>
    </row>
    <row r="11" spans="1:13" ht="15" thickBot="1" x14ac:dyDescent="0.35">
      <c r="A11" s="658"/>
      <c r="B11" s="659"/>
      <c r="C11" s="162" t="s">
        <v>159</v>
      </c>
      <c r="D11" s="661"/>
      <c r="F11" s="412"/>
      <c r="G11" s="413"/>
      <c r="H11" s="413"/>
      <c r="I11" s="413"/>
      <c r="J11" s="413"/>
      <c r="K11" s="413"/>
      <c r="L11" s="413"/>
      <c r="M11" s="414"/>
    </row>
    <row r="12" spans="1:13" ht="27.6" customHeight="1" x14ac:dyDescent="0.3">
      <c r="A12" s="110" t="s">
        <v>160</v>
      </c>
      <c r="B12" s="111">
        <f>'Amend#2 Main Budget'!G27</f>
        <v>0</v>
      </c>
      <c r="C12" s="154"/>
      <c r="D12" s="157"/>
      <c r="F12" s="644" t="s">
        <v>2014</v>
      </c>
      <c r="G12" s="645"/>
      <c r="H12" s="645"/>
      <c r="I12" s="645"/>
      <c r="J12" s="645"/>
      <c r="K12" s="645"/>
      <c r="L12" s="645"/>
      <c r="M12" s="646"/>
    </row>
    <row r="13" spans="1:13" x14ac:dyDescent="0.3">
      <c r="A13" s="110" t="s">
        <v>161</v>
      </c>
      <c r="B13" s="112">
        <f>'Amend#2 Main Budget'!G28</f>
        <v>0</v>
      </c>
      <c r="C13" s="154"/>
      <c r="D13" s="157"/>
      <c r="F13" s="644"/>
      <c r="G13" s="645"/>
      <c r="H13" s="645"/>
      <c r="I13" s="645"/>
      <c r="J13" s="645"/>
      <c r="K13" s="645"/>
      <c r="L13" s="645"/>
      <c r="M13" s="646"/>
    </row>
    <row r="14" spans="1:13" x14ac:dyDescent="0.3">
      <c r="A14" s="110" t="s">
        <v>162</v>
      </c>
      <c r="B14" s="111">
        <f>'Amend#1 Main Budget'!G29</f>
        <v>0</v>
      </c>
      <c r="C14" s="154"/>
      <c r="D14" s="157"/>
      <c r="F14" s="644"/>
      <c r="G14" s="645"/>
      <c r="H14" s="645"/>
      <c r="I14" s="645"/>
      <c r="J14" s="645"/>
      <c r="K14" s="645"/>
      <c r="L14" s="645"/>
      <c r="M14" s="646"/>
    </row>
    <row r="15" spans="1:13" x14ac:dyDescent="0.3">
      <c r="A15" s="110" t="s">
        <v>163</v>
      </c>
      <c r="B15" s="113">
        <f>'Amend#2 Main Budget'!M23-B19</f>
        <v>0</v>
      </c>
      <c r="C15" s="154"/>
      <c r="D15" s="157"/>
      <c r="F15" s="644"/>
      <c r="G15" s="645"/>
      <c r="H15" s="645"/>
      <c r="I15" s="645"/>
      <c r="J15" s="645"/>
      <c r="K15" s="645"/>
      <c r="L15" s="645"/>
      <c r="M15" s="646"/>
    </row>
    <row r="16" spans="1:13" x14ac:dyDescent="0.3">
      <c r="A16" s="110" t="s">
        <v>164</v>
      </c>
      <c r="B16" s="111">
        <f>'Amend#2 Main Budget'!M22-B20</f>
        <v>0</v>
      </c>
      <c r="C16" s="154"/>
      <c r="D16" s="157"/>
      <c r="F16" s="644"/>
      <c r="G16" s="645"/>
      <c r="H16" s="645"/>
      <c r="I16" s="645"/>
      <c r="J16" s="645"/>
      <c r="K16" s="645"/>
      <c r="L16" s="645"/>
      <c r="M16" s="646"/>
    </row>
    <row r="17" spans="1:13" x14ac:dyDescent="0.3">
      <c r="A17" s="110" t="s">
        <v>2018</v>
      </c>
      <c r="B17" s="245"/>
      <c r="C17" s="155"/>
      <c r="D17" s="157"/>
      <c r="F17" s="644"/>
      <c r="G17" s="645"/>
      <c r="H17" s="645"/>
      <c r="I17" s="645"/>
      <c r="J17" s="645"/>
      <c r="K17" s="645"/>
      <c r="L17" s="645"/>
      <c r="M17" s="646"/>
    </row>
    <row r="18" spans="1:13" x14ac:dyDescent="0.3">
      <c r="A18" s="110" t="s">
        <v>2019</v>
      </c>
      <c r="B18" s="245">
        <f>SUM('Amend#2 NPS Activities'!D112-(B19+B20))</f>
        <v>0</v>
      </c>
      <c r="C18" s="155"/>
      <c r="D18" s="157"/>
      <c r="F18" s="644"/>
      <c r="G18" s="645"/>
      <c r="H18" s="645"/>
      <c r="I18" s="645"/>
      <c r="J18" s="645"/>
      <c r="K18" s="645"/>
      <c r="L18" s="645"/>
      <c r="M18" s="646"/>
    </row>
    <row r="19" spans="1:13" x14ac:dyDescent="0.3">
      <c r="A19" s="110" t="s">
        <v>2020</v>
      </c>
      <c r="B19" s="245">
        <f>SUM('Amend#2 NPS Activities'!H30:H36)</f>
        <v>0</v>
      </c>
      <c r="C19" s="155"/>
      <c r="D19" s="157"/>
      <c r="F19" s="644"/>
      <c r="G19" s="645"/>
      <c r="H19" s="645"/>
      <c r="I19" s="645"/>
      <c r="J19" s="645"/>
      <c r="K19" s="645"/>
      <c r="L19" s="645"/>
      <c r="M19" s="646"/>
    </row>
    <row r="20" spans="1:13" x14ac:dyDescent="0.3">
      <c r="A20" s="110" t="s">
        <v>2021</v>
      </c>
      <c r="B20" s="245">
        <f>'Amend#2 NPS Activities'!H62</f>
        <v>0</v>
      </c>
      <c r="C20" s="155"/>
      <c r="D20" s="157"/>
      <c r="F20" s="644"/>
      <c r="G20" s="645"/>
      <c r="H20" s="645"/>
      <c r="I20" s="645"/>
      <c r="J20" s="645"/>
      <c r="K20" s="645"/>
      <c r="L20" s="645"/>
      <c r="M20" s="646"/>
    </row>
    <row r="21" spans="1:13" x14ac:dyDescent="0.3">
      <c r="A21" s="114" t="s">
        <v>165</v>
      </c>
      <c r="B21" s="115"/>
      <c r="C21" s="115"/>
      <c r="D21" s="115"/>
      <c r="F21" s="644"/>
      <c r="G21" s="645"/>
      <c r="H21" s="645"/>
      <c r="I21" s="645"/>
      <c r="J21" s="645"/>
      <c r="K21" s="645"/>
      <c r="L21" s="645"/>
      <c r="M21" s="646"/>
    </row>
    <row r="22" spans="1:13" x14ac:dyDescent="0.3">
      <c r="A22" s="116" t="s">
        <v>2006</v>
      </c>
      <c r="B22" s="117">
        <f>'Amend#2 Overview'!E19</f>
        <v>0</v>
      </c>
      <c r="C22" s="155"/>
      <c r="D22" s="157"/>
      <c r="F22" s="644"/>
      <c r="G22" s="645"/>
      <c r="H22" s="645"/>
      <c r="I22" s="645"/>
      <c r="J22" s="645"/>
      <c r="K22" s="645"/>
      <c r="L22" s="645"/>
      <c r="M22" s="646"/>
    </row>
    <row r="23" spans="1:13" x14ac:dyDescent="0.3">
      <c r="A23" s="116" t="s">
        <v>2007</v>
      </c>
      <c r="B23" s="117">
        <f>'Amend#2 Overview'!E20</f>
        <v>0</v>
      </c>
      <c r="C23" s="155"/>
      <c r="D23" s="157"/>
      <c r="F23" s="644"/>
      <c r="G23" s="645"/>
      <c r="H23" s="645"/>
      <c r="I23" s="645"/>
      <c r="J23" s="645"/>
      <c r="K23" s="645"/>
      <c r="L23" s="645"/>
      <c r="M23" s="646"/>
    </row>
    <row r="24" spans="1:13" x14ac:dyDescent="0.3">
      <c r="A24" s="116" t="s">
        <v>2008</v>
      </c>
      <c r="B24" s="117">
        <f>'Amend#2 Overview'!E21</f>
        <v>0</v>
      </c>
      <c r="C24" s="155"/>
      <c r="D24" s="157"/>
      <c r="F24" s="647"/>
      <c r="G24" s="648"/>
      <c r="H24" s="648"/>
      <c r="I24" s="648"/>
      <c r="J24" s="648"/>
      <c r="K24" s="648"/>
      <c r="L24" s="648"/>
      <c r="M24" s="649"/>
    </row>
    <row r="25" spans="1:13" x14ac:dyDescent="0.3">
      <c r="A25" s="116" t="s">
        <v>2009</v>
      </c>
      <c r="B25" s="117">
        <f>'Amend#2 Overview'!E22</f>
        <v>0</v>
      </c>
      <c r="C25" s="155"/>
      <c r="D25" s="157"/>
    </row>
    <row r="26" spans="1:13" x14ac:dyDescent="0.3">
      <c r="A26" s="116" t="s">
        <v>2010</v>
      </c>
      <c r="B26" s="117">
        <f>'Amend#2 Overview'!E23</f>
        <v>0</v>
      </c>
      <c r="C26" s="155"/>
      <c r="D26" s="157"/>
    </row>
    <row r="27" spans="1:13" ht="14.4" customHeight="1" thickBot="1" x14ac:dyDescent="0.35">
      <c r="A27" s="248" t="s">
        <v>2011</v>
      </c>
      <c r="B27" s="249">
        <f>'Amend#2 Overview'!E24</f>
        <v>0</v>
      </c>
      <c r="C27" s="250"/>
      <c r="D27" s="251"/>
    </row>
    <row r="28" spans="1:13" ht="14.4" customHeight="1" x14ac:dyDescent="0.3">
      <c r="A28" s="246" t="s">
        <v>2022</v>
      </c>
      <c r="B28" s="247">
        <f>SUM(B12:B27)</f>
        <v>0</v>
      </c>
      <c r="C28" s="259"/>
      <c r="D28" s="260"/>
    </row>
    <row r="29" spans="1:13" ht="15" thickBot="1" x14ac:dyDescent="0.35">
      <c r="A29" s="248" t="s">
        <v>2024</v>
      </c>
      <c r="B29" s="249">
        <f>'Amend#2 Overview'!G11</f>
        <v>0</v>
      </c>
      <c r="C29" s="261"/>
      <c r="D29" s="262"/>
    </row>
    <row r="30" spans="1:13" ht="15" thickBot="1" x14ac:dyDescent="0.35">
      <c r="A30" s="254" t="s">
        <v>2023</v>
      </c>
      <c r="B30" s="255">
        <f>B28-B29</f>
        <v>0</v>
      </c>
      <c r="C30" s="256">
        <f>SUM(C12:C27)</f>
        <v>0</v>
      </c>
      <c r="D30" s="257">
        <f>SUM(D12:D27)</f>
        <v>0</v>
      </c>
    </row>
    <row r="31" spans="1:13" ht="40.799999999999997" x14ac:dyDescent="0.3">
      <c r="A31" s="671"/>
      <c r="B31" s="672"/>
      <c r="C31" s="252" t="s">
        <v>399</v>
      </c>
      <c r="D31" s="253"/>
    </row>
    <row r="32" spans="1:13" ht="58.8" customHeight="1" x14ac:dyDescent="0.3">
      <c r="A32" s="676" t="s">
        <v>166</v>
      </c>
      <c r="B32" s="676"/>
      <c r="C32" s="676"/>
      <c r="D32" s="676"/>
    </row>
    <row r="33" spans="1:4" x14ac:dyDescent="0.3">
      <c r="A33" s="118" t="s">
        <v>167</v>
      </c>
      <c r="B33" s="119" t="s">
        <v>168</v>
      </c>
      <c r="C33" s="677"/>
      <c r="D33" s="678"/>
    </row>
    <row r="34" spans="1:4" x14ac:dyDescent="0.3">
      <c r="A34" s="120" t="s">
        <v>169</v>
      </c>
      <c r="B34" s="679"/>
      <c r="C34" s="679"/>
      <c r="D34" s="680"/>
    </row>
    <row r="35" spans="1:4" x14ac:dyDescent="0.3">
      <c r="A35" s="120" t="s">
        <v>170</v>
      </c>
      <c r="B35" s="679"/>
      <c r="C35" s="679"/>
      <c r="D35" s="680"/>
    </row>
    <row r="36" spans="1:4" x14ac:dyDescent="0.3">
      <c r="A36" s="120" t="s">
        <v>171</v>
      </c>
      <c r="B36" s="679"/>
      <c r="C36" s="679"/>
      <c r="D36" s="680"/>
    </row>
    <row r="37" spans="1:4" ht="4.2" customHeight="1" x14ac:dyDescent="0.3">
      <c r="A37" s="121"/>
      <c r="B37" s="122"/>
      <c r="C37" s="122"/>
      <c r="D37" s="123"/>
    </row>
    <row r="38" spans="1:4" ht="3.6" customHeight="1" x14ac:dyDescent="0.3">
      <c r="A38" s="685"/>
      <c r="B38" s="685"/>
      <c r="C38" s="685"/>
      <c r="D38" s="685"/>
    </row>
    <row r="39" spans="1:4" x14ac:dyDescent="0.3">
      <c r="A39" s="124" t="s">
        <v>172</v>
      </c>
      <c r="B39" s="125" t="s">
        <v>168</v>
      </c>
      <c r="C39" s="681"/>
      <c r="D39" s="682"/>
    </row>
    <row r="40" spans="1:4" ht="14.4" customHeight="1" x14ac:dyDescent="0.3">
      <c r="A40" s="107" t="s">
        <v>169</v>
      </c>
      <c r="B40" s="683"/>
      <c r="C40" s="683"/>
      <c r="D40" s="684"/>
    </row>
    <row r="41" spans="1:4" ht="14.4" customHeight="1" x14ac:dyDescent="0.3">
      <c r="A41" s="107" t="s">
        <v>170</v>
      </c>
      <c r="B41" s="683"/>
      <c r="C41" s="683"/>
      <c r="D41" s="684"/>
    </row>
    <row r="42" spans="1:4" x14ac:dyDescent="0.3">
      <c r="A42" s="107" t="s">
        <v>171</v>
      </c>
      <c r="B42" s="683"/>
      <c r="C42" s="683"/>
      <c r="D42" s="684"/>
    </row>
    <row r="43" spans="1:4" ht="4.2" customHeight="1" x14ac:dyDescent="0.3">
      <c r="A43" s="126"/>
      <c r="B43" s="127"/>
      <c r="C43" s="127"/>
      <c r="D43" s="128"/>
    </row>
    <row r="44" spans="1:4" ht="3.6" customHeight="1" x14ac:dyDescent="0.3">
      <c r="A44" s="686"/>
      <c r="B44" s="686"/>
      <c r="C44" s="686"/>
      <c r="D44" s="686"/>
    </row>
    <row r="45" spans="1:4" x14ac:dyDescent="0.3">
      <c r="A45" s="673" t="s">
        <v>173</v>
      </c>
      <c r="B45" s="687" t="s">
        <v>174</v>
      </c>
      <c r="C45" s="674" t="s">
        <v>175</v>
      </c>
      <c r="D45" s="129" t="s">
        <v>176</v>
      </c>
    </row>
    <row r="46" spans="1:4" x14ac:dyDescent="0.3">
      <c r="A46" s="673"/>
      <c r="B46" s="687"/>
      <c r="C46" s="675"/>
      <c r="D46" s="382" t="s">
        <v>177</v>
      </c>
    </row>
  </sheetData>
  <sheetProtection algorithmName="SHA-512" hashValue="FGGzI+YcF2+terd4nVpsLCJBjA6Yv+ZjE9mZ4h6Yo7yOQX448VurtV3IgVqiW2k6Q76yV8antlVew7CR3ikx4g==" saltValue="14Z5NRau4hM3s/JsCe4r8w==" spinCount="100000" sheet="1" objects="1" scenarios="1" selectLockedCells="1"/>
  <mergeCells count="28">
    <mergeCell ref="B35:D35"/>
    <mergeCell ref="B36:D36"/>
    <mergeCell ref="A31:B31"/>
    <mergeCell ref="A32:D32"/>
    <mergeCell ref="C33:D33"/>
    <mergeCell ref="B34:D34"/>
    <mergeCell ref="F10:M11"/>
    <mergeCell ref="F12:M24"/>
    <mergeCell ref="B7:D7"/>
    <mergeCell ref="A1:D1"/>
    <mergeCell ref="A2:D2"/>
    <mergeCell ref="A3:D3"/>
    <mergeCell ref="B5:C5"/>
    <mergeCell ref="B6:D6"/>
    <mergeCell ref="B8:D8"/>
    <mergeCell ref="A9:D9"/>
    <mergeCell ref="A10:A11"/>
    <mergeCell ref="B10:B11"/>
    <mergeCell ref="D10:D11"/>
    <mergeCell ref="A44:D44"/>
    <mergeCell ref="A45:A46"/>
    <mergeCell ref="B45:B46"/>
    <mergeCell ref="C45:C46"/>
    <mergeCell ref="A38:D38"/>
    <mergeCell ref="C39:D39"/>
    <mergeCell ref="B40:D40"/>
    <mergeCell ref="B41:D41"/>
    <mergeCell ref="B42:D42"/>
  </mergeCells>
  <hyperlinks>
    <hyperlink ref="D46" r:id="rId1" xr:uid="{1DAEDA4D-00F9-4A76-B394-3D416199F466}"/>
  </hyperlinks>
  <pageMargins left="0.5" right="0.5" top="0.5" bottom="0.5" header="0.3" footer="0.3"/>
  <pageSetup scale="98"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1" id="{39F2786A-CA50-40F2-89E6-7892E23C9FC6}">
            <xm:f>$B$15&gt;Overview!$I$15</xm:f>
            <x14:dxf>
              <font>
                <b/>
                <i val="0"/>
                <color rgb="FFFFFF00"/>
              </font>
              <fill>
                <patternFill>
                  <bgColor rgb="FFFF0000"/>
                </patternFill>
              </fill>
            </x14:dxf>
          </x14:cfRule>
          <xm:sqref>B15</xm:sqref>
        </x14:conditionalFormatting>
      </x14:conditionalFormatting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0FC7-7143-4AB3-8399-7C94E8D37FE1}">
  <sheetPr codeName="Sheet22">
    <tabColor rgb="FFFF7C80"/>
  </sheetPr>
  <dimension ref="A1:V53"/>
  <sheetViews>
    <sheetView showGridLines="0" zoomScaleNormal="100" workbookViewId="0">
      <selection activeCell="C6" sqref="C6:E6"/>
    </sheetView>
  </sheetViews>
  <sheetFormatPr defaultColWidth="8.88671875" defaultRowHeight="14.4" x14ac:dyDescent="0.3"/>
  <cols>
    <col min="1" max="1" width="8.88671875" style="14"/>
    <col min="2" max="2" width="11.44140625" style="14" customWidth="1"/>
    <col min="3" max="4" width="8.88671875" style="14"/>
    <col min="5" max="5" width="13.77734375" style="14" customWidth="1"/>
    <col min="6" max="13" width="8.88671875" style="14"/>
    <col min="14" max="14" width="4.21875" style="14" customWidth="1"/>
    <col min="15" max="16384" width="8.88671875" style="14"/>
  </cols>
  <sheetData>
    <row r="1" spans="1:22" ht="29.4" customHeight="1" thickBot="1" x14ac:dyDescent="0.35">
      <c r="A1" s="762" t="s">
        <v>2064</v>
      </c>
      <c r="B1" s="762"/>
      <c r="C1" s="762"/>
      <c r="D1" s="762"/>
      <c r="E1" s="762"/>
      <c r="F1" s="762"/>
      <c r="G1" s="762"/>
      <c r="H1" s="762"/>
      <c r="I1" s="762"/>
      <c r="J1" s="762"/>
      <c r="K1" s="762"/>
      <c r="L1" s="762"/>
      <c r="M1" s="762"/>
      <c r="O1" s="424" t="s">
        <v>120</v>
      </c>
      <c r="P1" s="425"/>
      <c r="Q1" s="425"/>
      <c r="R1" s="425"/>
      <c r="S1" s="425"/>
      <c r="T1" s="425"/>
      <c r="U1" s="425"/>
      <c r="V1" s="426"/>
    </row>
    <row r="2" spans="1:22" x14ac:dyDescent="0.3">
      <c r="A2" s="435" t="s">
        <v>113</v>
      </c>
      <c r="B2" s="435"/>
      <c r="C2" s="435"/>
      <c r="D2" s="435"/>
      <c r="E2" s="435"/>
      <c r="F2" s="435"/>
      <c r="G2" s="435"/>
      <c r="H2" s="435"/>
      <c r="I2" s="435"/>
      <c r="J2" s="435"/>
      <c r="K2" s="435"/>
      <c r="L2" s="435"/>
      <c r="M2" s="435"/>
      <c r="O2" s="695" t="s">
        <v>2005</v>
      </c>
      <c r="P2" s="696"/>
      <c r="Q2" s="696"/>
      <c r="R2" s="696"/>
      <c r="S2" s="696"/>
      <c r="T2" s="696"/>
      <c r="U2" s="696"/>
      <c r="V2" s="697"/>
    </row>
    <row r="3" spans="1:22" s="38" customFormat="1" ht="6.6" customHeight="1" x14ac:dyDescent="0.3">
      <c r="A3" s="35"/>
      <c r="B3" s="36"/>
      <c r="C3" s="36"/>
      <c r="D3" s="36"/>
      <c r="E3" s="36"/>
      <c r="F3" s="36"/>
      <c r="G3" s="36"/>
      <c r="H3" s="36"/>
      <c r="I3" s="36"/>
      <c r="J3" s="36"/>
      <c r="K3" s="36"/>
      <c r="L3" s="36"/>
      <c r="M3" s="37"/>
      <c r="O3" s="698"/>
      <c r="P3" s="699"/>
      <c r="Q3" s="699"/>
      <c r="R3" s="699"/>
      <c r="S3" s="699"/>
      <c r="T3" s="699"/>
      <c r="U3" s="699"/>
      <c r="V3" s="700"/>
    </row>
    <row r="4" spans="1:22" x14ac:dyDescent="0.3">
      <c r="A4" s="448" t="s">
        <v>78</v>
      </c>
      <c r="B4" s="449"/>
      <c r="C4" s="705">
        <f>Overview!C4</f>
        <v>0</v>
      </c>
      <c r="D4" s="705"/>
      <c r="E4" s="705"/>
      <c r="F4" s="705"/>
      <c r="G4" s="705"/>
      <c r="H4" s="705"/>
      <c r="I4" s="705"/>
      <c r="J4" s="705"/>
      <c r="K4" s="705"/>
      <c r="L4" s="705"/>
      <c r="M4" s="706"/>
      <c r="O4" s="698"/>
      <c r="P4" s="699"/>
      <c r="Q4" s="699"/>
      <c r="R4" s="699"/>
      <c r="S4" s="699"/>
      <c r="T4" s="699"/>
      <c r="U4" s="699"/>
      <c r="V4" s="700"/>
    </row>
    <row r="5" spans="1:22" s="38" customFormat="1" ht="15.6" customHeight="1" x14ac:dyDescent="0.3">
      <c r="A5" s="35"/>
      <c r="B5" s="36"/>
      <c r="C5" s="707" t="s">
        <v>1979</v>
      </c>
      <c r="D5" s="707"/>
      <c r="E5" s="707"/>
      <c r="F5" s="707"/>
      <c r="G5" s="707"/>
      <c r="H5" s="707"/>
      <c r="I5" s="707"/>
      <c r="J5" s="707"/>
      <c r="K5" s="707"/>
      <c r="L5" s="707"/>
      <c r="M5" s="708"/>
      <c r="O5" s="701"/>
      <c r="P5" s="702"/>
      <c r="Q5" s="702"/>
      <c r="R5" s="702"/>
      <c r="S5" s="702"/>
      <c r="T5" s="702"/>
      <c r="U5" s="702"/>
      <c r="V5" s="703"/>
    </row>
    <row r="6" spans="1:22" s="38" customFormat="1" ht="15.6" customHeight="1" thickBot="1" x14ac:dyDescent="0.35">
      <c r="A6" s="393" t="s">
        <v>96</v>
      </c>
      <c r="B6" s="393"/>
      <c r="C6" s="691">
        <f>'Amend#2 Overview'!C6</f>
        <v>0</v>
      </c>
      <c r="D6" s="691"/>
      <c r="E6" s="691"/>
      <c r="F6" s="150" t="s">
        <v>98</v>
      </c>
      <c r="G6" s="692">
        <f>'Amend#2 Overview'!G6</f>
        <v>0</v>
      </c>
      <c r="H6" s="693"/>
      <c r="I6" s="693"/>
      <c r="J6" s="151" t="s">
        <v>119</v>
      </c>
      <c r="K6" s="691">
        <f>'Amend#2 Overview'!K6</f>
        <v>0</v>
      </c>
      <c r="L6" s="691"/>
      <c r="M6" s="694"/>
      <c r="O6" s="14"/>
      <c r="P6" s="14"/>
      <c r="Q6" s="14"/>
      <c r="R6" s="14"/>
      <c r="S6" s="14"/>
      <c r="T6" s="14"/>
      <c r="U6" s="14"/>
      <c r="V6" s="14"/>
    </row>
    <row r="7" spans="1:22" s="38" customFormat="1" ht="15.6" customHeight="1" thickBot="1" x14ac:dyDescent="0.35">
      <c r="A7" s="393" t="s">
        <v>97</v>
      </c>
      <c r="B7" s="393"/>
      <c r="C7" s="691">
        <f>'Amend#2 Overview'!C7</f>
        <v>0</v>
      </c>
      <c r="D7" s="691"/>
      <c r="E7" s="691"/>
      <c r="F7" s="150" t="s">
        <v>98</v>
      </c>
      <c r="G7" s="692">
        <f>'Amend#2 Overview'!G7</f>
        <v>0</v>
      </c>
      <c r="H7" s="693"/>
      <c r="I7" s="693"/>
      <c r="J7" s="151" t="s">
        <v>119</v>
      </c>
      <c r="K7" s="691">
        <f>'Amend#2 Overview'!K7</f>
        <v>0</v>
      </c>
      <c r="L7" s="691"/>
      <c r="M7" s="694"/>
      <c r="O7" s="409" t="s">
        <v>1983</v>
      </c>
      <c r="P7" s="410"/>
      <c r="Q7" s="410"/>
      <c r="R7" s="410"/>
      <c r="S7" s="410"/>
      <c r="T7" s="410"/>
      <c r="U7" s="410"/>
      <c r="V7" s="411"/>
    </row>
    <row r="8" spans="1:22" s="38" customFormat="1" ht="15.6" customHeight="1" thickBot="1" x14ac:dyDescent="0.35">
      <c r="A8" s="393" t="s">
        <v>118</v>
      </c>
      <c r="B8" s="393"/>
      <c r="C8" s="691">
        <f>'Amend#2 Overview'!C8</f>
        <v>0</v>
      </c>
      <c r="D8" s="691"/>
      <c r="E8" s="691"/>
      <c r="F8" s="150" t="s">
        <v>98</v>
      </c>
      <c r="G8" s="692">
        <f>'Amend#2 Overview'!G8</f>
        <v>0</v>
      </c>
      <c r="H8" s="693"/>
      <c r="I8" s="693"/>
      <c r="J8" s="151" t="s">
        <v>119</v>
      </c>
      <c r="K8" s="691">
        <f>'Amend#2 Overview'!K8</f>
        <v>0</v>
      </c>
      <c r="L8" s="691"/>
      <c r="M8" s="694"/>
      <c r="O8" s="412"/>
      <c r="P8" s="413"/>
      <c r="Q8" s="413"/>
      <c r="R8" s="413"/>
      <c r="S8" s="413"/>
      <c r="T8" s="413"/>
      <c r="U8" s="413"/>
      <c r="V8" s="414"/>
    </row>
    <row r="9" spans="1:22" ht="16.2" customHeight="1" thickBot="1" x14ac:dyDescent="0.35">
      <c r="A9" s="436" t="s">
        <v>30</v>
      </c>
      <c r="B9" s="437"/>
      <c r="C9" s="437"/>
      <c r="D9" s="437"/>
      <c r="E9" s="438"/>
      <c r="F9" s="438"/>
      <c r="G9" s="439" t="str">
        <f>Overview!G9</f>
        <v/>
      </c>
      <c r="H9" s="440"/>
      <c r="I9" s="440"/>
      <c r="J9" s="440"/>
      <c r="K9" s="440"/>
      <c r="L9" s="440"/>
      <c r="M9" s="441"/>
      <c r="O9" s="415" t="s">
        <v>2067</v>
      </c>
      <c r="P9" s="416"/>
      <c r="Q9" s="416"/>
      <c r="R9" s="416"/>
      <c r="S9" s="416"/>
      <c r="T9" s="416"/>
      <c r="U9" s="416"/>
      <c r="V9" s="417"/>
    </row>
    <row r="10" spans="1:22" ht="16.2" customHeight="1" thickBot="1" x14ac:dyDescent="0.35">
      <c r="A10" s="398" t="s">
        <v>1999</v>
      </c>
      <c r="B10" s="399"/>
      <c r="C10" s="399"/>
      <c r="D10" s="399"/>
      <c r="E10" s="399"/>
      <c r="F10" s="399"/>
      <c r="G10" s="405">
        <f>SUM(E19:E24)</f>
        <v>0</v>
      </c>
      <c r="H10" s="392"/>
      <c r="I10" s="391"/>
      <c r="J10" s="391"/>
      <c r="K10" s="391"/>
      <c r="L10" s="391"/>
      <c r="M10" s="392"/>
      <c r="O10" s="415"/>
      <c r="P10" s="416"/>
      <c r="Q10" s="416"/>
      <c r="R10" s="416"/>
      <c r="S10" s="416"/>
      <c r="T10" s="416"/>
      <c r="U10" s="416"/>
      <c r="V10" s="417"/>
    </row>
    <row r="11" spans="1:22" ht="16.2" customHeight="1" thickBot="1" x14ac:dyDescent="0.35">
      <c r="A11" s="227"/>
      <c r="B11" s="228"/>
      <c r="C11" s="228"/>
      <c r="D11" s="228"/>
      <c r="E11" s="228"/>
      <c r="F11" s="228" t="s">
        <v>2000</v>
      </c>
      <c r="G11" s="689">
        <f>IFERROR('Amend#2 Overview'!G11,"")</f>
        <v>0</v>
      </c>
      <c r="H11" s="690"/>
      <c r="I11" s="405" t="str">
        <f>IFERROR(ROUND(G13-Overview!G13,2),"")</f>
        <v/>
      </c>
      <c r="J11" s="391"/>
      <c r="K11" s="230"/>
      <c r="L11" s="230"/>
      <c r="M11" s="175" t="s">
        <v>2001</v>
      </c>
      <c r="O11" s="415"/>
      <c r="P11" s="416"/>
      <c r="Q11" s="416"/>
      <c r="R11" s="416"/>
      <c r="S11" s="416"/>
      <c r="T11" s="416"/>
      <c r="U11" s="416"/>
      <c r="V11" s="417"/>
    </row>
    <row r="12" spans="1:22" ht="16.2" customHeight="1" thickBot="1" x14ac:dyDescent="0.35">
      <c r="A12" s="227"/>
      <c r="B12" s="228"/>
      <c r="C12" s="228"/>
      <c r="D12" s="228"/>
      <c r="E12" s="228"/>
      <c r="F12" s="182" t="s">
        <v>2004</v>
      </c>
      <c r="G12" s="400" t="str">
        <f>IFERROR(ROUND(G9-G10+G11,2),"")</f>
        <v/>
      </c>
      <c r="H12" s="401"/>
      <c r="I12" s="405"/>
      <c r="J12" s="391"/>
      <c r="K12" s="391"/>
      <c r="L12" s="391"/>
      <c r="M12" s="392"/>
      <c r="O12" s="415"/>
      <c r="P12" s="416"/>
      <c r="Q12" s="416"/>
      <c r="R12" s="416"/>
      <c r="S12" s="416"/>
      <c r="T12" s="416"/>
      <c r="U12" s="416"/>
      <c r="V12" s="417"/>
    </row>
    <row r="13" spans="1:22" ht="16.2" customHeight="1" thickBot="1" x14ac:dyDescent="0.35">
      <c r="A13" s="398" t="s">
        <v>1988</v>
      </c>
      <c r="B13" s="399"/>
      <c r="C13" s="399"/>
      <c r="D13" s="399"/>
      <c r="E13" s="399"/>
      <c r="F13" s="399"/>
      <c r="G13" s="405" t="str">
        <f>'Amend#3 Equitable Share'!K56</f>
        <v xml:space="preserve"> </v>
      </c>
      <c r="H13" s="392"/>
      <c r="I13" s="391"/>
      <c r="J13" s="391"/>
      <c r="K13" s="391"/>
      <c r="L13" s="391"/>
      <c r="M13" s="392"/>
      <c r="O13" s="415"/>
      <c r="P13" s="416"/>
      <c r="Q13" s="416"/>
      <c r="R13" s="416"/>
      <c r="S13" s="416"/>
      <c r="T13" s="416"/>
      <c r="U13" s="416"/>
      <c r="V13" s="417"/>
    </row>
    <row r="14" spans="1:22" ht="16.2" customHeight="1" thickBot="1" x14ac:dyDescent="0.35">
      <c r="A14" s="421" t="s">
        <v>68</v>
      </c>
      <c r="B14" s="399"/>
      <c r="C14" s="399"/>
      <c r="D14" s="399"/>
      <c r="E14" s="399"/>
      <c r="F14" s="399"/>
      <c r="G14" s="403" t="str">
        <f>IFERROR(ROUND(G12-G13,2),"")</f>
        <v/>
      </c>
      <c r="H14" s="404"/>
      <c r="I14" s="403"/>
      <c r="J14" s="391"/>
      <c r="K14" s="391"/>
      <c r="L14" s="391"/>
      <c r="M14" s="392"/>
      <c r="O14" s="415"/>
      <c r="P14" s="416"/>
      <c r="Q14" s="416"/>
      <c r="R14" s="416"/>
      <c r="S14" s="416"/>
      <c r="T14" s="416"/>
      <c r="U14" s="416"/>
      <c r="V14" s="417"/>
    </row>
    <row r="15" spans="1:22" ht="19.2" customHeight="1" thickBot="1" x14ac:dyDescent="0.35">
      <c r="A15" s="421" t="s">
        <v>2002</v>
      </c>
      <c r="B15" s="399"/>
      <c r="C15" s="399"/>
      <c r="D15" s="399"/>
      <c r="E15" s="399"/>
      <c r="F15" s="399"/>
      <c r="G15" s="406">
        <f>'Amend#3 Main Budget'!M23</f>
        <v>0</v>
      </c>
      <c r="H15" s="407"/>
      <c r="I15" s="403" t="str">
        <f>IFERROR(ROUND((G12)*0.03,2),"")</f>
        <v/>
      </c>
      <c r="J15" s="404"/>
      <c r="K15" s="149" t="s">
        <v>401</v>
      </c>
      <c r="L15" s="25"/>
      <c r="M15" s="26"/>
      <c r="O15" s="415"/>
      <c r="P15" s="416"/>
      <c r="Q15" s="416"/>
      <c r="R15" s="416"/>
      <c r="S15" s="416"/>
      <c r="T15" s="416"/>
      <c r="U15" s="416"/>
      <c r="V15" s="417"/>
    </row>
    <row r="16" spans="1:22" ht="16.2" customHeight="1" thickBot="1" x14ac:dyDescent="0.35">
      <c r="A16" s="15"/>
      <c r="B16" s="688" t="str">
        <f>IFERROR('Amend#3 Main Budget'!H27," ")</f>
        <v/>
      </c>
      <c r="C16" s="688"/>
      <c r="D16" s="688"/>
      <c r="E16" s="16"/>
      <c r="F16" s="688" t="str">
        <f>IFERROR('Amend#3 Main Budget'!H28," ")</f>
        <v/>
      </c>
      <c r="G16" s="688"/>
      <c r="H16" s="688"/>
      <c r="I16" s="16"/>
      <c r="J16" s="688" t="str">
        <f>IFERROR('Amend#3 Main Budget'!H29,"")</f>
        <v/>
      </c>
      <c r="K16" s="688"/>
      <c r="L16" s="688"/>
      <c r="M16" s="17"/>
      <c r="O16" s="415"/>
      <c r="P16" s="416"/>
      <c r="Q16" s="416"/>
      <c r="R16" s="416"/>
      <c r="S16" s="416"/>
      <c r="T16" s="416"/>
      <c r="U16" s="416"/>
      <c r="V16" s="417"/>
    </row>
    <row r="17" spans="1:22" ht="16.2" customHeight="1" x14ac:dyDescent="0.3">
      <c r="A17" s="15"/>
      <c r="B17" s="408" t="s">
        <v>115</v>
      </c>
      <c r="C17" s="408"/>
      <c r="D17" s="408"/>
      <c r="E17" s="16"/>
      <c r="F17" s="408" t="s">
        <v>116</v>
      </c>
      <c r="G17" s="408"/>
      <c r="H17" s="408"/>
      <c r="I17" s="16"/>
      <c r="J17" s="408" t="s">
        <v>117</v>
      </c>
      <c r="K17" s="408"/>
      <c r="L17" s="408"/>
      <c r="M17" s="17"/>
      <c r="O17" s="415"/>
      <c r="P17" s="416"/>
      <c r="Q17" s="416"/>
      <c r="R17" s="416"/>
      <c r="S17" s="416"/>
      <c r="T17" s="416"/>
      <c r="U17" s="416"/>
      <c r="V17" s="417"/>
    </row>
    <row r="18" spans="1:22" ht="5.4" customHeight="1" x14ac:dyDescent="0.3">
      <c r="A18" s="15"/>
      <c r="B18" s="187"/>
      <c r="C18" s="187"/>
      <c r="D18" s="187"/>
      <c r="E18" s="16"/>
      <c r="F18" s="187"/>
      <c r="G18" s="187"/>
      <c r="H18" s="187"/>
      <c r="I18" s="16"/>
      <c r="J18" s="187"/>
      <c r="K18" s="187"/>
      <c r="L18" s="187"/>
      <c r="M18" s="17"/>
      <c r="O18" s="415"/>
      <c r="P18" s="416"/>
      <c r="Q18" s="416"/>
      <c r="R18" s="416"/>
      <c r="S18" s="416"/>
      <c r="T18" s="416"/>
      <c r="U18" s="416"/>
      <c r="V18" s="417"/>
    </row>
    <row r="19" spans="1:22" ht="16.2" customHeight="1" x14ac:dyDescent="0.3">
      <c r="A19" s="385" t="s">
        <v>1989</v>
      </c>
      <c r="B19" s="386"/>
      <c r="C19" s="386"/>
      <c r="D19" s="386"/>
      <c r="E19" s="195">
        <f>IFERROR('Amend#2 Overview'!E19,"")</f>
        <v>0</v>
      </c>
      <c r="F19" s="16"/>
      <c r="G19" s="16"/>
      <c r="H19" s="16"/>
      <c r="I19" s="16"/>
      <c r="J19" s="16"/>
      <c r="K19" s="16"/>
      <c r="L19" s="16"/>
      <c r="M19" s="17"/>
      <c r="O19" s="418"/>
      <c r="P19" s="419"/>
      <c r="Q19" s="419"/>
      <c r="R19" s="419"/>
      <c r="S19" s="419"/>
      <c r="T19" s="419"/>
      <c r="U19" s="419"/>
      <c r="V19" s="420"/>
    </row>
    <row r="20" spans="1:22" ht="16.2" customHeight="1" x14ac:dyDescent="0.3">
      <c r="A20" s="385" t="s">
        <v>1990</v>
      </c>
      <c r="B20" s="386"/>
      <c r="C20" s="386"/>
      <c r="D20" s="386"/>
      <c r="E20" s="195">
        <f>IFERROR('Amend#2 Overview'!E20,"")</f>
        <v>0</v>
      </c>
      <c r="F20" s="16"/>
      <c r="G20" s="16"/>
      <c r="H20" s="16"/>
      <c r="I20" s="16"/>
      <c r="J20" s="16"/>
      <c r="K20" s="16"/>
      <c r="L20" s="16"/>
      <c r="M20" s="17"/>
    </row>
    <row r="21" spans="1:22" ht="16.2" customHeight="1" x14ac:dyDescent="0.3">
      <c r="A21" s="385" t="s">
        <v>1991</v>
      </c>
      <c r="B21" s="386"/>
      <c r="C21" s="386"/>
      <c r="D21" s="386"/>
      <c r="E21" s="195">
        <f>IFERROR('Amend#2 Overview'!E21,"")</f>
        <v>0</v>
      </c>
      <c r="F21" s="16"/>
      <c r="G21" s="16"/>
      <c r="H21" s="16"/>
      <c r="I21" s="16"/>
      <c r="J21" s="16"/>
      <c r="K21" s="16"/>
      <c r="L21" s="16"/>
      <c r="M21" s="17"/>
    </row>
    <row r="22" spans="1:22" ht="16.2" customHeight="1" x14ac:dyDescent="0.3">
      <c r="A22" s="385" t="s">
        <v>1992</v>
      </c>
      <c r="B22" s="386"/>
      <c r="C22" s="386"/>
      <c r="D22" s="386"/>
      <c r="E22" s="195">
        <f>IFERROR('Amend#2 Overview'!E22,"")</f>
        <v>0</v>
      </c>
      <c r="F22" s="16"/>
      <c r="G22" s="16"/>
      <c r="H22" s="16"/>
      <c r="I22" s="16"/>
      <c r="J22" s="16"/>
      <c r="K22" s="16"/>
      <c r="L22" s="16"/>
      <c r="M22" s="17"/>
    </row>
    <row r="23" spans="1:22" ht="16.2" customHeight="1" x14ac:dyDescent="0.3">
      <c r="A23" s="385" t="s">
        <v>1993</v>
      </c>
      <c r="B23" s="386"/>
      <c r="C23" s="386"/>
      <c r="D23" s="386"/>
      <c r="E23" s="195">
        <f>IFERROR('Amend#2 Overview'!E23,"")</f>
        <v>0</v>
      </c>
      <c r="F23" s="16"/>
      <c r="G23" s="16"/>
      <c r="H23" s="16"/>
      <c r="I23" s="16"/>
      <c r="J23" s="16"/>
      <c r="K23" s="16"/>
      <c r="L23" s="16"/>
      <c r="M23" s="17"/>
    </row>
    <row r="24" spans="1:22" ht="16.2" customHeight="1" x14ac:dyDescent="0.3">
      <c r="A24" s="385" t="s">
        <v>1994</v>
      </c>
      <c r="B24" s="386"/>
      <c r="C24" s="386"/>
      <c r="D24" s="386"/>
      <c r="E24" s="195">
        <f>IFERROR('Amend#2 Overview'!E24,"")</f>
        <v>0</v>
      </c>
      <c r="F24" s="16"/>
      <c r="G24" s="16"/>
      <c r="H24" s="16"/>
      <c r="I24" s="16"/>
      <c r="J24" s="16"/>
      <c r="K24" s="16"/>
      <c r="L24" s="16"/>
      <c r="M24" s="17"/>
    </row>
    <row r="25" spans="1:22" ht="4.8" customHeight="1" x14ac:dyDescent="0.3">
      <c r="A25" s="388"/>
      <c r="B25" s="389"/>
      <c r="C25" s="389"/>
      <c r="D25" s="389"/>
      <c r="E25" s="389"/>
      <c r="F25" s="389"/>
      <c r="G25" s="389"/>
      <c r="H25" s="389"/>
      <c r="I25" s="389"/>
      <c r="J25" s="389"/>
      <c r="K25" s="389"/>
      <c r="L25" s="389"/>
      <c r="M25" s="390"/>
    </row>
    <row r="26" spans="1:22" x14ac:dyDescent="0.3">
      <c r="A26" s="387"/>
      <c r="B26" s="387"/>
      <c r="C26" s="387"/>
      <c r="D26" s="387"/>
      <c r="E26" s="387"/>
      <c r="F26" s="387"/>
      <c r="G26" s="387"/>
      <c r="H26" s="387"/>
      <c r="I26" s="387"/>
      <c r="J26" s="387"/>
      <c r="K26" s="387"/>
      <c r="L26" s="387"/>
      <c r="M26" s="387"/>
    </row>
    <row r="27" spans="1:22" ht="49.2" customHeight="1" x14ac:dyDescent="0.3">
      <c r="A27" s="39"/>
      <c r="B27" s="39"/>
      <c r="C27" s="39"/>
      <c r="D27" s="39"/>
      <c r="E27" s="39"/>
      <c r="F27" s="39"/>
      <c r="G27" s="39"/>
      <c r="H27" s="39"/>
      <c r="I27" s="39"/>
      <c r="J27" s="39"/>
      <c r="K27" s="39"/>
      <c r="L27" s="39"/>
      <c r="M27" s="39"/>
    </row>
    <row r="28" spans="1:22" x14ac:dyDescent="0.3">
      <c r="A28" s="40"/>
      <c r="B28" s="39"/>
      <c r="C28" s="39"/>
      <c r="D28" s="39"/>
      <c r="E28" s="39"/>
      <c r="F28" s="39"/>
      <c r="G28" s="39"/>
      <c r="H28" s="39"/>
      <c r="I28" s="39"/>
      <c r="J28" s="39"/>
      <c r="K28" s="39"/>
      <c r="L28" s="39"/>
      <c r="M28" s="39"/>
    </row>
    <row r="29" spans="1:22" x14ac:dyDescent="0.3">
      <c r="A29" s="383"/>
      <c r="B29" s="384"/>
      <c r="C29" s="384"/>
      <c r="D29" s="384"/>
      <c r="E29" s="384"/>
      <c r="F29" s="384"/>
      <c r="G29" s="384"/>
      <c r="H29" s="384"/>
      <c r="I29" s="384"/>
      <c r="J29" s="384"/>
      <c r="K29" s="384"/>
      <c r="L29" s="384"/>
      <c r="M29" s="384"/>
    </row>
    <row r="30" spans="1:22" x14ac:dyDescent="0.3">
      <c r="A30" s="39"/>
      <c r="B30" s="39"/>
      <c r="C30" s="39"/>
      <c r="D30" s="39"/>
      <c r="E30" s="39"/>
      <c r="F30" s="39"/>
      <c r="G30" s="39"/>
      <c r="H30" s="39"/>
      <c r="I30" s="39"/>
      <c r="J30" s="39"/>
      <c r="K30" s="39"/>
      <c r="L30" s="39"/>
      <c r="M30" s="39"/>
    </row>
    <row r="31" spans="1:22" x14ac:dyDescent="0.3">
      <c r="A31" s="39"/>
      <c r="B31" s="39"/>
      <c r="C31" s="39"/>
      <c r="D31" s="39"/>
      <c r="E31" s="39"/>
      <c r="F31" s="39"/>
      <c r="G31" s="39"/>
      <c r="H31" s="39"/>
      <c r="I31" s="39"/>
      <c r="J31" s="39"/>
      <c r="K31" s="39"/>
      <c r="L31" s="39"/>
      <c r="M31" s="39"/>
    </row>
    <row r="32" spans="1:22" x14ac:dyDescent="0.3">
      <c r="A32" s="39"/>
      <c r="B32" s="39"/>
      <c r="C32" s="39"/>
      <c r="D32" s="39"/>
      <c r="E32" s="39"/>
      <c r="F32" s="39"/>
      <c r="G32" s="39"/>
      <c r="H32" s="39"/>
      <c r="I32" s="39"/>
      <c r="J32" s="39"/>
      <c r="K32" s="39"/>
      <c r="L32" s="39"/>
      <c r="M32" s="39"/>
    </row>
    <row r="33" spans="1:13" x14ac:dyDescent="0.3">
      <c r="A33" s="39"/>
      <c r="B33" s="39"/>
      <c r="C33" s="39"/>
      <c r="D33" s="39"/>
      <c r="E33" s="39"/>
      <c r="F33" s="39"/>
      <c r="G33" s="39"/>
      <c r="H33" s="39"/>
      <c r="I33" s="39"/>
      <c r="J33" s="39"/>
      <c r="K33" s="39"/>
      <c r="L33" s="39"/>
      <c r="M33" s="39"/>
    </row>
    <row r="34" spans="1:13" x14ac:dyDescent="0.3">
      <c r="A34" s="39"/>
      <c r="B34" s="39"/>
      <c r="C34" s="39"/>
      <c r="D34" s="39"/>
      <c r="E34" s="39"/>
      <c r="F34" s="39"/>
      <c r="G34" s="39"/>
      <c r="H34" s="39"/>
      <c r="I34" s="39"/>
      <c r="J34" s="39"/>
      <c r="K34" s="39"/>
      <c r="L34" s="39"/>
      <c r="M34" s="39"/>
    </row>
    <row r="35" spans="1:13" x14ac:dyDescent="0.3">
      <c r="A35" s="39"/>
      <c r="B35" s="39"/>
      <c r="C35" s="39"/>
      <c r="D35" s="39"/>
      <c r="E35" s="39"/>
      <c r="F35" s="39"/>
      <c r="G35" s="39"/>
      <c r="H35" s="39"/>
      <c r="I35" s="39"/>
      <c r="J35" s="39"/>
      <c r="K35" s="39"/>
      <c r="L35" s="39"/>
      <c r="M35" s="39"/>
    </row>
    <row r="36" spans="1:13" x14ac:dyDescent="0.3">
      <c r="A36" s="39"/>
      <c r="B36" s="39"/>
      <c r="C36" s="39"/>
      <c r="D36" s="39"/>
      <c r="E36" s="39"/>
      <c r="F36" s="39"/>
      <c r="G36" s="39"/>
      <c r="H36" s="39"/>
      <c r="I36" s="39"/>
      <c r="J36" s="39"/>
      <c r="K36" s="39"/>
      <c r="L36" s="39"/>
      <c r="M36" s="39"/>
    </row>
    <row r="37" spans="1:13" x14ac:dyDescent="0.3">
      <c r="A37" s="39"/>
      <c r="B37" s="39"/>
      <c r="C37" s="39"/>
      <c r="D37" s="39"/>
      <c r="E37" s="39"/>
      <c r="F37" s="39"/>
      <c r="G37" s="39"/>
      <c r="H37" s="39"/>
      <c r="I37" s="39"/>
      <c r="J37" s="39"/>
      <c r="K37" s="39"/>
      <c r="L37" s="39"/>
      <c r="M37" s="39"/>
    </row>
    <row r="38" spans="1:13" x14ac:dyDescent="0.3">
      <c r="A38" s="39"/>
      <c r="B38" s="39"/>
      <c r="C38" s="39"/>
      <c r="D38" s="39"/>
      <c r="E38" s="39"/>
      <c r="F38" s="39"/>
      <c r="G38" s="39"/>
      <c r="H38" s="39"/>
      <c r="I38" s="39"/>
      <c r="J38" s="39"/>
      <c r="K38" s="39"/>
      <c r="L38" s="39"/>
      <c r="M38" s="39"/>
    </row>
    <row r="39" spans="1:13" x14ac:dyDescent="0.3">
      <c r="A39" s="39"/>
      <c r="B39" s="39"/>
      <c r="C39" s="39"/>
      <c r="D39" s="39"/>
      <c r="E39" s="39"/>
      <c r="F39" s="39"/>
      <c r="G39" s="39"/>
      <c r="H39" s="39"/>
      <c r="I39" s="39"/>
      <c r="J39" s="39"/>
      <c r="K39" s="39"/>
      <c r="L39" s="39"/>
      <c r="M39" s="39"/>
    </row>
    <row r="40" spans="1:13" x14ac:dyDescent="0.3">
      <c r="A40" s="39"/>
      <c r="B40" s="39"/>
      <c r="C40" s="39"/>
      <c r="D40" s="39"/>
      <c r="E40" s="39"/>
      <c r="F40" s="39"/>
      <c r="G40" s="39"/>
      <c r="H40" s="39"/>
      <c r="I40" s="39"/>
      <c r="J40" s="39"/>
      <c r="K40" s="39"/>
      <c r="L40" s="39"/>
      <c r="M40" s="39"/>
    </row>
    <row r="41" spans="1:13" x14ac:dyDescent="0.3">
      <c r="A41" s="39"/>
      <c r="B41" s="39"/>
      <c r="C41" s="39"/>
      <c r="D41" s="39"/>
      <c r="E41" s="39"/>
      <c r="F41" s="39"/>
      <c r="G41" s="39"/>
      <c r="H41" s="39"/>
      <c r="I41" s="39"/>
      <c r="J41" s="39"/>
      <c r="K41" s="39"/>
      <c r="L41" s="39"/>
      <c r="M41" s="39"/>
    </row>
    <row r="42" spans="1:13" x14ac:dyDescent="0.3">
      <c r="A42" s="39"/>
      <c r="B42" s="39"/>
      <c r="C42" s="39"/>
      <c r="D42" s="39"/>
      <c r="E42" s="39"/>
      <c r="F42" s="39"/>
      <c r="G42" s="39"/>
      <c r="H42" s="39"/>
      <c r="I42" s="39"/>
      <c r="J42" s="39"/>
      <c r="K42" s="39"/>
      <c r="L42" s="39"/>
      <c r="M42" s="39"/>
    </row>
    <row r="43" spans="1:13" x14ac:dyDescent="0.3">
      <c r="A43" s="39"/>
      <c r="B43" s="39"/>
      <c r="C43" s="39"/>
      <c r="D43" s="39"/>
      <c r="E43" s="39"/>
      <c r="F43" s="39"/>
      <c r="G43" s="39"/>
      <c r="H43" s="39"/>
      <c r="I43" s="39"/>
      <c r="J43" s="39"/>
      <c r="K43" s="39"/>
      <c r="L43" s="39"/>
      <c r="M43" s="39"/>
    </row>
    <row r="44" spans="1:13" x14ac:dyDescent="0.3">
      <c r="A44" s="39"/>
      <c r="B44" s="39"/>
      <c r="C44" s="39"/>
      <c r="D44" s="39"/>
      <c r="E44" s="39"/>
      <c r="F44" s="39"/>
      <c r="G44" s="39"/>
      <c r="H44" s="39"/>
      <c r="I44" s="39"/>
      <c r="J44" s="39"/>
      <c r="K44" s="39"/>
      <c r="L44" s="39"/>
      <c r="M44" s="39"/>
    </row>
    <row r="45" spans="1:13" x14ac:dyDescent="0.3">
      <c r="A45" s="39"/>
      <c r="B45" s="39"/>
      <c r="C45" s="39"/>
      <c r="D45" s="39"/>
      <c r="E45" s="39"/>
      <c r="F45" s="39"/>
      <c r="G45" s="39"/>
      <c r="H45" s="39"/>
      <c r="I45" s="39"/>
      <c r="J45" s="39"/>
      <c r="K45" s="39"/>
      <c r="L45" s="39"/>
      <c r="M45" s="39"/>
    </row>
    <row r="46" spans="1:13" x14ac:dyDescent="0.3">
      <c r="A46" s="39"/>
      <c r="B46" s="39"/>
      <c r="C46" s="39"/>
      <c r="D46" s="39"/>
      <c r="E46" s="39"/>
      <c r="F46" s="39"/>
      <c r="G46" s="39"/>
      <c r="H46" s="39"/>
      <c r="I46" s="39"/>
      <c r="J46" s="39"/>
      <c r="K46" s="39"/>
      <c r="L46" s="39"/>
      <c r="M46" s="39"/>
    </row>
    <row r="47" spans="1:13" x14ac:dyDescent="0.3">
      <c r="A47" s="39"/>
      <c r="B47" s="39"/>
      <c r="C47" s="39"/>
      <c r="D47" s="39"/>
      <c r="E47" s="39"/>
      <c r="F47" s="39"/>
      <c r="G47" s="39"/>
      <c r="H47" s="39"/>
      <c r="I47" s="39"/>
      <c r="J47" s="39"/>
      <c r="K47" s="39"/>
      <c r="L47" s="39"/>
      <c r="M47" s="39"/>
    </row>
    <row r="48" spans="1:13" x14ac:dyDescent="0.3">
      <c r="A48" s="39"/>
      <c r="B48" s="39"/>
      <c r="C48" s="39"/>
      <c r="D48" s="39"/>
      <c r="E48" s="39"/>
      <c r="F48" s="39"/>
      <c r="G48" s="39"/>
      <c r="H48" s="39"/>
      <c r="I48" s="39"/>
      <c r="J48" s="39"/>
      <c r="K48" s="39"/>
      <c r="L48" s="39"/>
      <c r="M48" s="39"/>
    </row>
    <row r="49" spans="1:13" x14ac:dyDescent="0.3">
      <c r="A49" s="39"/>
      <c r="B49" s="39"/>
      <c r="C49" s="39"/>
      <c r="D49" s="39"/>
      <c r="E49" s="39"/>
      <c r="F49" s="39"/>
      <c r="G49" s="39"/>
      <c r="H49" s="39"/>
      <c r="I49" s="39"/>
      <c r="J49" s="39"/>
      <c r="K49" s="39"/>
      <c r="L49" s="39"/>
      <c r="M49" s="39"/>
    </row>
    <row r="50" spans="1:13" x14ac:dyDescent="0.3">
      <c r="A50" s="39"/>
      <c r="B50" s="39"/>
      <c r="C50" s="39"/>
      <c r="D50" s="39"/>
      <c r="E50" s="39"/>
      <c r="F50" s="39"/>
      <c r="G50" s="39"/>
      <c r="H50" s="39"/>
      <c r="I50" s="39"/>
      <c r="J50" s="39"/>
      <c r="K50" s="39"/>
      <c r="L50" s="39"/>
      <c r="M50" s="39"/>
    </row>
    <row r="51" spans="1:13" x14ac:dyDescent="0.3">
      <c r="A51" s="39"/>
      <c r="B51" s="39"/>
      <c r="C51" s="39"/>
      <c r="D51" s="39"/>
      <c r="E51" s="39"/>
      <c r="F51" s="39"/>
      <c r="G51" s="39"/>
      <c r="H51" s="39"/>
      <c r="I51" s="39"/>
      <c r="J51" s="39"/>
      <c r="K51" s="39"/>
      <c r="L51" s="39"/>
      <c r="M51" s="39"/>
    </row>
    <row r="52" spans="1:13" x14ac:dyDescent="0.3">
      <c r="A52" s="39"/>
      <c r="B52" s="39"/>
      <c r="C52" s="39"/>
      <c r="D52" s="39"/>
      <c r="E52" s="39"/>
      <c r="F52" s="39"/>
      <c r="G52" s="39"/>
      <c r="H52" s="39"/>
      <c r="I52" s="39"/>
      <c r="J52" s="39"/>
      <c r="K52" s="39"/>
      <c r="L52" s="39"/>
      <c r="M52" s="39"/>
    </row>
    <row r="53" spans="1:13" x14ac:dyDescent="0.3">
      <c r="A53" s="39"/>
      <c r="B53" s="39"/>
      <c r="C53" s="39"/>
      <c r="D53" s="39"/>
      <c r="E53" s="39"/>
      <c r="F53" s="39"/>
      <c r="G53" s="39"/>
      <c r="H53" s="39"/>
      <c r="I53" s="39"/>
      <c r="J53" s="39"/>
      <c r="K53" s="39"/>
      <c r="L53" s="39"/>
      <c r="M53" s="39"/>
    </row>
  </sheetData>
  <sheetProtection algorithmName="SHA-512" hashValue="4bL+IMQIBkWOaIn+XjCQXSiVANMG9Tc4wvdSpN7+fE0Nz3MMi2m6W3bJOL8aDn9fbrN1guEAtW8gb5aPy3s1hw==" saltValue="LouWq+WbqVg8Rv7tqvWzWg==" spinCount="100000" sheet="1" objects="1" scenarios="1" selectLockedCells="1"/>
  <protectedRanges>
    <protectedRange algorithmName="SHA-512" hashValue="lNcqq/b/lsnk95iB5XHq0PCRQDc9dvC4IFp0U4snaSUCM/moZUJf/mRHSIBefPWpvI8noEnjLM38ZtAzyO/BWg==" saltValue="a2+SEoRuu63mT/5dVMI08Q==" spinCount="100000" sqref="B16:L18" name="Focus Area"/>
    <protectedRange algorithmName="SHA-512" hashValue="ipynFNZn0pufBFEZADZeeAyGEi+JWV8nHAUrbiPJ9Y8g9QC+WWj4zRY2j6wWwZ/NtKTO0cVBUWW4uM5rZUCeOQ==" saltValue="1VZ+Zn1PkH6cBPffDs1L1w==" spinCount="100000" sqref="G14:M15" name="Total Allocation_1"/>
  </protectedRanges>
  <mergeCells count="54">
    <mergeCell ref="O1:V1"/>
    <mergeCell ref="O2:V5"/>
    <mergeCell ref="A7:B7"/>
    <mergeCell ref="C7:E7"/>
    <mergeCell ref="G7:I7"/>
    <mergeCell ref="K7:M7"/>
    <mergeCell ref="A1:M1"/>
    <mergeCell ref="A2:M2"/>
    <mergeCell ref="A4:B4"/>
    <mergeCell ref="C4:M4"/>
    <mergeCell ref="C5:M5"/>
    <mergeCell ref="A8:B8"/>
    <mergeCell ref="A10:F10"/>
    <mergeCell ref="G10:H10"/>
    <mergeCell ref="I10:M10"/>
    <mergeCell ref="A6:B6"/>
    <mergeCell ref="C6:E6"/>
    <mergeCell ref="G6:I6"/>
    <mergeCell ref="K6:M6"/>
    <mergeCell ref="C8:E8"/>
    <mergeCell ref="G8:I8"/>
    <mergeCell ref="K8:M8"/>
    <mergeCell ref="A9:F9"/>
    <mergeCell ref="G9:M9"/>
    <mergeCell ref="G11:H11"/>
    <mergeCell ref="I11:J11"/>
    <mergeCell ref="G12:H12"/>
    <mergeCell ref="I12:M12"/>
    <mergeCell ref="O7:V8"/>
    <mergeCell ref="O9:V19"/>
    <mergeCell ref="A13:F13"/>
    <mergeCell ref="G13:H13"/>
    <mergeCell ref="I13:M13"/>
    <mergeCell ref="A14:F14"/>
    <mergeCell ref="G14:H14"/>
    <mergeCell ref="I14:M14"/>
    <mergeCell ref="A15:F15"/>
    <mergeCell ref="G15:H15"/>
    <mergeCell ref="I15:J15"/>
    <mergeCell ref="B16:D16"/>
    <mergeCell ref="F16:H16"/>
    <mergeCell ref="J16:L16"/>
    <mergeCell ref="A29:M29"/>
    <mergeCell ref="B17:D17"/>
    <mergeCell ref="F17:H17"/>
    <mergeCell ref="J17:L17"/>
    <mergeCell ref="A19:D19"/>
    <mergeCell ref="A20:D20"/>
    <mergeCell ref="A21:D21"/>
    <mergeCell ref="A22:D22"/>
    <mergeCell ref="A23:D23"/>
    <mergeCell ref="A24:D24"/>
    <mergeCell ref="A25:M25"/>
    <mergeCell ref="A26:M26"/>
  </mergeCells>
  <conditionalFormatting sqref="B16:D16">
    <cfRule type="cellIs" dxfId="89" priority="11" operator="between">
      <formula>0.01</formula>
      <formula>1</formula>
    </cfRule>
  </conditionalFormatting>
  <conditionalFormatting sqref="F16:H16">
    <cfRule type="cellIs" dxfId="88" priority="10" operator="between">
      <formula>0.01</formula>
      <formula>1</formula>
    </cfRule>
  </conditionalFormatting>
  <conditionalFormatting sqref="J16:L16">
    <cfRule type="cellIs" dxfId="87" priority="8" operator="equal">
      <formula>1</formula>
    </cfRule>
  </conditionalFormatting>
  <conditionalFormatting sqref="G15:H15">
    <cfRule type="expression" dxfId="86" priority="1">
      <formula>$G$15&gt;$I$15</formula>
    </cfRule>
    <cfRule type="expression" dxfId="85" priority="2">
      <formula>$G$15=$I$15</formula>
    </cfRule>
    <cfRule type="expression" dxfId="84" priority="3">
      <formula>$G$15&lt;$I$15</formula>
    </cfRule>
  </conditionalFormatting>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4" id="{AD035007-A710-4E7D-89BF-342AD122A132}">
            <xm:f>'Amend#2 Main Budget'!$M$23&lt;=G15</xm:f>
            <x14:dxf/>
          </x14:cfRule>
          <xm:sqref>M23</xm:sqref>
        </x14:conditionalFormatting>
      </x14:conditionalFormattings>
    </ext>
  </extLs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65E68-ED14-41AA-A047-0F7241A0E849}">
  <sheetPr codeName="Sheet23">
    <tabColor rgb="FFFF7C80"/>
  </sheetPr>
  <dimension ref="A1:O58"/>
  <sheetViews>
    <sheetView showGridLines="0" zoomScaleNormal="100" workbookViewId="0">
      <selection activeCell="J7" sqref="J7:L7"/>
    </sheetView>
  </sheetViews>
  <sheetFormatPr defaultColWidth="8.88671875" defaultRowHeight="14.4" x14ac:dyDescent="0.3"/>
  <cols>
    <col min="1" max="9" width="8.88671875" style="14"/>
    <col min="10" max="10" width="9.88671875" style="14" customWidth="1"/>
    <col min="11" max="14" width="8.88671875" style="14"/>
    <col min="15" max="15" width="3.109375" style="14" customWidth="1"/>
    <col min="16" max="16384" width="8.88671875" style="14"/>
  </cols>
  <sheetData>
    <row r="1" spans="1:13" ht="24" x14ac:dyDescent="0.3">
      <c r="A1" s="762" t="s">
        <v>133</v>
      </c>
      <c r="B1" s="762"/>
      <c r="C1" s="762"/>
      <c r="D1" s="762"/>
      <c r="E1" s="762"/>
      <c r="F1" s="762"/>
      <c r="G1" s="762"/>
      <c r="H1" s="762"/>
      <c r="I1" s="762"/>
      <c r="J1" s="762"/>
      <c r="K1" s="762"/>
      <c r="L1" s="762"/>
      <c r="M1" s="762"/>
    </row>
    <row r="2" spans="1:13" x14ac:dyDescent="0.3">
      <c r="A2" s="435" t="s">
        <v>100</v>
      </c>
      <c r="B2" s="435"/>
      <c r="C2" s="435"/>
      <c r="D2" s="435"/>
      <c r="E2" s="435"/>
      <c r="F2" s="435"/>
      <c r="G2" s="435"/>
      <c r="H2" s="435"/>
      <c r="I2" s="435"/>
      <c r="J2" s="435"/>
      <c r="K2" s="435"/>
      <c r="L2" s="435"/>
      <c r="M2" s="435"/>
    </row>
    <row r="3" spans="1:13" x14ac:dyDescent="0.3">
      <c r="A3" s="196"/>
      <c r="B3" s="189"/>
      <c r="C3" s="189"/>
      <c r="D3" s="189"/>
      <c r="E3" s="189"/>
      <c r="F3" s="189"/>
      <c r="G3" s="189"/>
      <c r="H3" s="189"/>
      <c r="I3" s="189"/>
      <c r="J3" s="189"/>
      <c r="K3" s="189"/>
      <c r="L3" s="189"/>
      <c r="M3" s="197"/>
    </row>
    <row r="4" spans="1:13" ht="15" thickBot="1" x14ac:dyDescent="0.35">
      <c r="A4" s="198"/>
      <c r="B4" s="30"/>
      <c r="C4" s="724">
        <f>'Equitable Share'!C4</f>
        <v>0</v>
      </c>
      <c r="D4" s="724"/>
      <c r="E4" s="199" t="s">
        <v>102</v>
      </c>
      <c r="F4" s="464">
        <f>I56</f>
        <v>0</v>
      </c>
      <c r="G4" s="464"/>
      <c r="H4" s="464"/>
      <c r="I4" s="199" t="s">
        <v>104</v>
      </c>
      <c r="J4" s="470">
        <f>C4+F4</f>
        <v>0</v>
      </c>
      <c r="K4" s="470"/>
      <c r="L4" s="470"/>
      <c r="M4" s="200"/>
    </row>
    <row r="5" spans="1:13" x14ac:dyDescent="0.3">
      <c r="A5" s="198"/>
      <c r="B5" s="30"/>
      <c r="C5" s="462" t="s">
        <v>99</v>
      </c>
      <c r="D5" s="462"/>
      <c r="E5" s="30"/>
      <c r="F5" s="462" t="s">
        <v>103</v>
      </c>
      <c r="G5" s="462"/>
      <c r="H5" s="462"/>
      <c r="I5" s="462"/>
      <c r="J5" s="469" t="s">
        <v>101</v>
      </c>
      <c r="K5" s="469"/>
      <c r="L5" s="469"/>
      <c r="M5" s="200"/>
    </row>
    <row r="6" spans="1:13" ht="9.6" customHeight="1" x14ac:dyDescent="0.3">
      <c r="A6" s="198"/>
      <c r="B6" s="30"/>
      <c r="C6" s="188"/>
      <c r="D6" s="188"/>
      <c r="E6" s="30"/>
      <c r="F6" s="188"/>
      <c r="G6" s="188"/>
      <c r="H6" s="188"/>
      <c r="I6" s="188"/>
      <c r="J6" s="30"/>
      <c r="K6" s="30"/>
      <c r="L6" s="30"/>
      <c r="M6" s="200"/>
    </row>
    <row r="7" spans="1:13" ht="15" thickBot="1" x14ac:dyDescent="0.35">
      <c r="A7" s="198"/>
      <c r="B7" s="30"/>
      <c r="C7" s="471" t="str">
        <f>IFERROR('Amend#3 Overview'!G12," ")</f>
        <v/>
      </c>
      <c r="D7" s="464"/>
      <c r="E7" s="199" t="s">
        <v>111</v>
      </c>
      <c r="F7" s="472">
        <f>J4</f>
        <v>0</v>
      </c>
      <c r="G7" s="464"/>
      <c r="H7" s="464"/>
      <c r="I7" s="199" t="s">
        <v>104</v>
      </c>
      <c r="J7" s="802" t="str">
        <f>IFERROR((C7/F7),"")</f>
        <v/>
      </c>
      <c r="K7" s="802"/>
      <c r="L7" s="802"/>
      <c r="M7" s="200"/>
    </row>
    <row r="8" spans="1:13" x14ac:dyDescent="0.3">
      <c r="A8" s="198"/>
      <c r="B8" s="30"/>
      <c r="C8" s="462" t="s">
        <v>178</v>
      </c>
      <c r="D8" s="462"/>
      <c r="E8" s="30"/>
      <c r="F8" s="30" t="s">
        <v>101</v>
      </c>
      <c r="G8" s="30"/>
      <c r="H8" s="30"/>
      <c r="I8" s="30"/>
      <c r="J8" s="465" t="s">
        <v>105</v>
      </c>
      <c r="K8" s="465"/>
      <c r="L8" s="465"/>
      <c r="M8" s="200"/>
    </row>
    <row r="9" spans="1:13" ht="9.6" customHeight="1" x14ac:dyDescent="0.3">
      <c r="A9" s="198"/>
      <c r="B9" s="30"/>
      <c r="C9" s="30"/>
      <c r="D9" s="30"/>
      <c r="E9" s="30"/>
      <c r="F9" s="30"/>
      <c r="G9" s="30"/>
      <c r="H9" s="30"/>
      <c r="I9" s="30"/>
      <c r="J9" s="30"/>
      <c r="K9" s="30"/>
      <c r="L9" s="30"/>
      <c r="M9" s="200"/>
    </row>
    <row r="10" spans="1:13" x14ac:dyDescent="0.3">
      <c r="A10" s="201"/>
      <c r="B10" s="202"/>
      <c r="C10" s="202"/>
      <c r="D10" s="202"/>
      <c r="E10" s="202"/>
      <c r="F10" s="202"/>
      <c r="G10" s="202"/>
      <c r="H10" s="202"/>
      <c r="I10" s="202"/>
      <c r="J10" s="202"/>
      <c r="K10" s="202"/>
      <c r="L10" s="202"/>
      <c r="M10" s="203"/>
    </row>
    <row r="11" spans="1:13" s="59" customFormat="1" ht="43.2" customHeight="1" x14ac:dyDescent="0.3">
      <c r="A11" s="466" t="s">
        <v>106</v>
      </c>
      <c r="B11" s="467"/>
      <c r="C11" s="467"/>
      <c r="D11" s="467" t="s">
        <v>107</v>
      </c>
      <c r="E11" s="467"/>
      <c r="F11" s="467"/>
      <c r="G11" s="467"/>
      <c r="H11" s="467"/>
      <c r="I11" s="467" t="s">
        <v>2032</v>
      </c>
      <c r="J11" s="467"/>
      <c r="K11" s="467" t="s">
        <v>110</v>
      </c>
      <c r="L11" s="467"/>
      <c r="M11" s="468"/>
    </row>
    <row r="12" spans="1:13" x14ac:dyDescent="0.3">
      <c r="A12" s="711">
        <f>'Equitable Share'!$A12</f>
        <v>0</v>
      </c>
      <c r="B12" s="711"/>
      <c r="C12" s="711"/>
      <c r="D12" s="460" t="str">
        <f>'Equitable Share'!D12</f>
        <v xml:space="preserve"> </v>
      </c>
      <c r="E12" s="460"/>
      <c r="F12" s="460"/>
      <c r="G12" s="460"/>
      <c r="H12" s="460"/>
      <c r="I12" s="712">
        <f>'Equitable Share'!I12</f>
        <v>0</v>
      </c>
      <c r="J12" s="712"/>
      <c r="K12" s="713" t="str">
        <f>IFERROR(I12*$J$7," ")</f>
        <v xml:space="preserve"> </v>
      </c>
      <c r="L12" s="714"/>
      <c r="M12" s="715"/>
    </row>
    <row r="13" spans="1:13" x14ac:dyDescent="0.3">
      <c r="A13" s="744">
        <f>'Equitable Share'!$A13</f>
        <v>0</v>
      </c>
      <c r="B13" s="744"/>
      <c r="C13" s="744"/>
      <c r="D13" s="459" t="str">
        <f>'Equitable Share'!D13</f>
        <v xml:space="preserve"> </v>
      </c>
      <c r="E13" s="459"/>
      <c r="F13" s="459"/>
      <c r="G13" s="459"/>
      <c r="H13" s="459"/>
      <c r="I13" s="719">
        <f>'Equitable Share'!I13</f>
        <v>0</v>
      </c>
      <c r="J13" s="719"/>
      <c r="K13" s="720" t="str">
        <f t="shared" ref="K13:K56" si="0">IFERROR(I13*$J$7," ")</f>
        <v xml:space="preserve"> </v>
      </c>
      <c r="L13" s="721"/>
      <c r="M13" s="722"/>
    </row>
    <row r="14" spans="1:13" x14ac:dyDescent="0.3">
      <c r="A14" s="711">
        <f>'Equitable Share'!$A14</f>
        <v>0</v>
      </c>
      <c r="B14" s="711"/>
      <c r="C14" s="711"/>
      <c r="D14" s="460" t="str">
        <f>'Equitable Share'!D14</f>
        <v xml:space="preserve"> </v>
      </c>
      <c r="E14" s="460"/>
      <c r="F14" s="460"/>
      <c r="G14" s="460"/>
      <c r="H14" s="460"/>
      <c r="I14" s="712">
        <f>'Equitable Share'!I14</f>
        <v>0</v>
      </c>
      <c r="J14" s="712"/>
      <c r="K14" s="713" t="str">
        <f t="shared" si="0"/>
        <v xml:space="preserve"> </v>
      </c>
      <c r="L14" s="714"/>
      <c r="M14" s="715"/>
    </row>
    <row r="15" spans="1:13" x14ac:dyDescent="0.3">
      <c r="A15" s="744">
        <f>'Equitable Share'!$A15</f>
        <v>0</v>
      </c>
      <c r="B15" s="744"/>
      <c r="C15" s="744"/>
      <c r="D15" s="459" t="str">
        <f>'Equitable Share'!D15</f>
        <v xml:space="preserve"> </v>
      </c>
      <c r="E15" s="459"/>
      <c r="F15" s="459"/>
      <c r="G15" s="459"/>
      <c r="H15" s="459"/>
      <c r="I15" s="719">
        <f>'Equitable Share'!I15</f>
        <v>0</v>
      </c>
      <c r="J15" s="719"/>
      <c r="K15" s="720" t="str">
        <f t="shared" si="0"/>
        <v xml:space="preserve"> </v>
      </c>
      <c r="L15" s="721"/>
      <c r="M15" s="722"/>
    </row>
    <row r="16" spans="1:13" x14ac:dyDescent="0.3">
      <c r="A16" s="711">
        <f>'Equitable Share'!$A16</f>
        <v>0</v>
      </c>
      <c r="B16" s="711"/>
      <c r="C16" s="711"/>
      <c r="D16" s="460" t="str">
        <f>'Equitable Share'!D16</f>
        <v xml:space="preserve"> </v>
      </c>
      <c r="E16" s="460"/>
      <c r="F16" s="460"/>
      <c r="G16" s="460"/>
      <c r="H16" s="460"/>
      <c r="I16" s="712">
        <f>'Equitable Share'!I16</f>
        <v>0</v>
      </c>
      <c r="J16" s="712"/>
      <c r="K16" s="713" t="str">
        <f t="shared" si="0"/>
        <v xml:space="preserve"> </v>
      </c>
      <c r="L16" s="714"/>
      <c r="M16" s="715"/>
    </row>
    <row r="17" spans="1:13" x14ac:dyDescent="0.3">
      <c r="A17" s="744">
        <f>'Equitable Share'!$A17</f>
        <v>0</v>
      </c>
      <c r="B17" s="744"/>
      <c r="C17" s="744"/>
      <c r="D17" s="459" t="str">
        <f>'Equitable Share'!D17</f>
        <v xml:space="preserve"> </v>
      </c>
      <c r="E17" s="459"/>
      <c r="F17" s="459"/>
      <c r="G17" s="459"/>
      <c r="H17" s="459"/>
      <c r="I17" s="719">
        <f>'Equitable Share'!I17</f>
        <v>0</v>
      </c>
      <c r="J17" s="719"/>
      <c r="K17" s="720" t="str">
        <f t="shared" si="0"/>
        <v xml:space="preserve"> </v>
      </c>
      <c r="L17" s="721"/>
      <c r="M17" s="722"/>
    </row>
    <row r="18" spans="1:13" x14ac:dyDescent="0.3">
      <c r="A18" s="711">
        <f>'Equitable Share'!$A18</f>
        <v>0</v>
      </c>
      <c r="B18" s="711"/>
      <c r="C18" s="711"/>
      <c r="D18" s="460" t="str">
        <f>'Equitable Share'!D18</f>
        <v xml:space="preserve"> </v>
      </c>
      <c r="E18" s="460"/>
      <c r="F18" s="460"/>
      <c r="G18" s="460"/>
      <c r="H18" s="460"/>
      <c r="I18" s="712">
        <f>'Equitable Share'!I18</f>
        <v>0</v>
      </c>
      <c r="J18" s="712"/>
      <c r="K18" s="713" t="str">
        <f t="shared" si="0"/>
        <v xml:space="preserve"> </v>
      </c>
      <c r="L18" s="714"/>
      <c r="M18" s="715"/>
    </row>
    <row r="19" spans="1:13" x14ac:dyDescent="0.3">
      <c r="A19" s="744">
        <f>'Equitable Share'!$A19</f>
        <v>0</v>
      </c>
      <c r="B19" s="744"/>
      <c r="C19" s="744"/>
      <c r="D19" s="459" t="str">
        <f>'Equitable Share'!D19</f>
        <v xml:space="preserve"> </v>
      </c>
      <c r="E19" s="459"/>
      <c r="F19" s="459"/>
      <c r="G19" s="459"/>
      <c r="H19" s="459"/>
      <c r="I19" s="719">
        <f>'Equitable Share'!I19</f>
        <v>0</v>
      </c>
      <c r="J19" s="719"/>
      <c r="K19" s="720" t="str">
        <f t="shared" si="0"/>
        <v xml:space="preserve"> </v>
      </c>
      <c r="L19" s="721"/>
      <c r="M19" s="722"/>
    </row>
    <row r="20" spans="1:13" x14ac:dyDescent="0.3">
      <c r="A20" s="711">
        <f>'Equitable Share'!$A20</f>
        <v>0</v>
      </c>
      <c r="B20" s="711"/>
      <c r="C20" s="711"/>
      <c r="D20" s="460" t="str">
        <f>'Equitable Share'!D20</f>
        <v xml:space="preserve"> </v>
      </c>
      <c r="E20" s="460"/>
      <c r="F20" s="460"/>
      <c r="G20" s="460"/>
      <c r="H20" s="460"/>
      <c r="I20" s="712">
        <f>'Equitable Share'!I20</f>
        <v>0</v>
      </c>
      <c r="J20" s="712"/>
      <c r="K20" s="713" t="str">
        <f t="shared" si="0"/>
        <v xml:space="preserve"> </v>
      </c>
      <c r="L20" s="714"/>
      <c r="M20" s="715"/>
    </row>
    <row r="21" spans="1:13" x14ac:dyDescent="0.3">
      <c r="A21" s="744">
        <f>'Equitable Share'!$A21</f>
        <v>0</v>
      </c>
      <c r="B21" s="744"/>
      <c r="C21" s="744"/>
      <c r="D21" s="459" t="str">
        <f>'Equitable Share'!D21</f>
        <v xml:space="preserve"> </v>
      </c>
      <c r="E21" s="459"/>
      <c r="F21" s="459"/>
      <c r="G21" s="459"/>
      <c r="H21" s="459"/>
      <c r="I21" s="719">
        <f>'Equitable Share'!I21</f>
        <v>0</v>
      </c>
      <c r="J21" s="719"/>
      <c r="K21" s="720" t="str">
        <f t="shared" si="0"/>
        <v xml:space="preserve"> </v>
      </c>
      <c r="L21" s="721"/>
      <c r="M21" s="722"/>
    </row>
    <row r="22" spans="1:13" x14ac:dyDescent="0.3">
      <c r="A22" s="711">
        <f>'Equitable Share'!$A22</f>
        <v>0</v>
      </c>
      <c r="B22" s="711"/>
      <c r="C22" s="711"/>
      <c r="D22" s="460" t="str">
        <f>'Equitable Share'!D22</f>
        <v xml:space="preserve"> </v>
      </c>
      <c r="E22" s="460"/>
      <c r="F22" s="460"/>
      <c r="G22" s="460"/>
      <c r="H22" s="460"/>
      <c r="I22" s="712">
        <f>'Equitable Share'!I22</f>
        <v>0</v>
      </c>
      <c r="J22" s="712"/>
      <c r="K22" s="713" t="str">
        <f t="shared" si="0"/>
        <v xml:space="preserve"> </v>
      </c>
      <c r="L22" s="714"/>
      <c r="M22" s="715"/>
    </row>
    <row r="23" spans="1:13" x14ac:dyDescent="0.3">
      <c r="A23" s="744">
        <f>'Equitable Share'!$A23</f>
        <v>0</v>
      </c>
      <c r="B23" s="744"/>
      <c r="C23" s="744"/>
      <c r="D23" s="459" t="str">
        <f>'Equitable Share'!D23</f>
        <v xml:space="preserve"> </v>
      </c>
      <c r="E23" s="459"/>
      <c r="F23" s="459"/>
      <c r="G23" s="459"/>
      <c r="H23" s="459"/>
      <c r="I23" s="719">
        <f>'Equitable Share'!I23</f>
        <v>0</v>
      </c>
      <c r="J23" s="719"/>
      <c r="K23" s="720" t="str">
        <f t="shared" si="0"/>
        <v xml:space="preserve"> </v>
      </c>
      <c r="L23" s="721"/>
      <c r="M23" s="722"/>
    </row>
    <row r="24" spans="1:13" x14ac:dyDescent="0.3">
      <c r="A24" s="711">
        <f>'Equitable Share'!$A24</f>
        <v>0</v>
      </c>
      <c r="B24" s="711"/>
      <c r="C24" s="711"/>
      <c r="D24" s="460" t="str">
        <f>'Equitable Share'!D24</f>
        <v xml:space="preserve"> </v>
      </c>
      <c r="E24" s="460"/>
      <c r="F24" s="460"/>
      <c r="G24" s="460"/>
      <c r="H24" s="460"/>
      <c r="I24" s="712">
        <f>'Equitable Share'!I24</f>
        <v>0</v>
      </c>
      <c r="J24" s="712"/>
      <c r="K24" s="713" t="str">
        <f t="shared" si="0"/>
        <v xml:space="preserve"> </v>
      </c>
      <c r="L24" s="714"/>
      <c r="M24" s="715"/>
    </row>
    <row r="25" spans="1:13" x14ac:dyDescent="0.3">
      <c r="A25" s="744">
        <f>'Equitable Share'!$A25</f>
        <v>0</v>
      </c>
      <c r="B25" s="744"/>
      <c r="C25" s="744"/>
      <c r="D25" s="459" t="str">
        <f>'Equitable Share'!D25</f>
        <v xml:space="preserve"> </v>
      </c>
      <c r="E25" s="459"/>
      <c r="F25" s="459"/>
      <c r="G25" s="459"/>
      <c r="H25" s="459"/>
      <c r="I25" s="719">
        <f>'Equitable Share'!I25</f>
        <v>0</v>
      </c>
      <c r="J25" s="719"/>
      <c r="K25" s="720" t="str">
        <f t="shared" si="0"/>
        <v xml:space="preserve"> </v>
      </c>
      <c r="L25" s="721"/>
      <c r="M25" s="722"/>
    </row>
    <row r="26" spans="1:13" x14ac:dyDescent="0.3">
      <c r="A26" s="711">
        <f>'Equitable Share'!$A26</f>
        <v>0</v>
      </c>
      <c r="B26" s="711"/>
      <c r="C26" s="711"/>
      <c r="D26" s="460" t="str">
        <f>'Equitable Share'!D26</f>
        <v xml:space="preserve"> </v>
      </c>
      <c r="E26" s="460"/>
      <c r="F26" s="460"/>
      <c r="G26" s="460"/>
      <c r="H26" s="460"/>
      <c r="I26" s="712">
        <f>'Equitable Share'!I26</f>
        <v>0</v>
      </c>
      <c r="J26" s="712"/>
      <c r="K26" s="713" t="str">
        <f t="shared" si="0"/>
        <v xml:space="preserve"> </v>
      </c>
      <c r="L26" s="714"/>
      <c r="M26" s="715"/>
    </row>
    <row r="27" spans="1:13" x14ac:dyDescent="0.3">
      <c r="A27" s="744">
        <f>'Equitable Share'!$A27</f>
        <v>0</v>
      </c>
      <c r="B27" s="744"/>
      <c r="C27" s="744"/>
      <c r="D27" s="459" t="str">
        <f>'Equitable Share'!D27</f>
        <v xml:space="preserve"> </v>
      </c>
      <c r="E27" s="459"/>
      <c r="F27" s="459"/>
      <c r="G27" s="459"/>
      <c r="H27" s="459"/>
      <c r="I27" s="719">
        <f>'Equitable Share'!I27</f>
        <v>0</v>
      </c>
      <c r="J27" s="719"/>
      <c r="K27" s="720" t="str">
        <f t="shared" si="0"/>
        <v xml:space="preserve"> </v>
      </c>
      <c r="L27" s="721"/>
      <c r="M27" s="722"/>
    </row>
    <row r="28" spans="1:13" x14ac:dyDescent="0.3">
      <c r="A28" s="711">
        <f>'Equitable Share'!$A28</f>
        <v>0</v>
      </c>
      <c r="B28" s="711"/>
      <c r="C28" s="711"/>
      <c r="D28" s="460" t="str">
        <f>'Equitable Share'!D28</f>
        <v xml:space="preserve"> </v>
      </c>
      <c r="E28" s="460"/>
      <c r="F28" s="460"/>
      <c r="G28" s="460"/>
      <c r="H28" s="460"/>
      <c r="I28" s="712">
        <f>'Equitable Share'!I28</f>
        <v>0</v>
      </c>
      <c r="J28" s="712"/>
      <c r="K28" s="713" t="str">
        <f t="shared" si="0"/>
        <v xml:space="preserve"> </v>
      </c>
      <c r="L28" s="714"/>
      <c r="M28" s="715"/>
    </row>
    <row r="29" spans="1:13" x14ac:dyDescent="0.3">
      <c r="A29" s="744">
        <f>'Equitable Share'!$A29</f>
        <v>0</v>
      </c>
      <c r="B29" s="744"/>
      <c r="C29" s="744"/>
      <c r="D29" s="459" t="str">
        <f>'Equitable Share'!D29</f>
        <v xml:space="preserve"> </v>
      </c>
      <c r="E29" s="459"/>
      <c r="F29" s="459"/>
      <c r="G29" s="459"/>
      <c r="H29" s="459"/>
      <c r="I29" s="719">
        <f>'Equitable Share'!I29</f>
        <v>0</v>
      </c>
      <c r="J29" s="719"/>
      <c r="K29" s="720" t="str">
        <f t="shared" si="0"/>
        <v xml:space="preserve"> </v>
      </c>
      <c r="L29" s="721"/>
      <c r="M29" s="722"/>
    </row>
    <row r="30" spans="1:13" x14ac:dyDescent="0.3">
      <c r="A30" s="711">
        <f>'Equitable Share'!$A30</f>
        <v>0</v>
      </c>
      <c r="B30" s="711"/>
      <c r="C30" s="711"/>
      <c r="D30" s="460" t="str">
        <f>'Equitable Share'!D30</f>
        <v xml:space="preserve"> </v>
      </c>
      <c r="E30" s="460"/>
      <c r="F30" s="460"/>
      <c r="G30" s="460"/>
      <c r="H30" s="460"/>
      <c r="I30" s="712">
        <f>'Equitable Share'!I30</f>
        <v>0</v>
      </c>
      <c r="J30" s="712"/>
      <c r="K30" s="713" t="str">
        <f t="shared" si="0"/>
        <v xml:space="preserve"> </v>
      </c>
      <c r="L30" s="714"/>
      <c r="M30" s="715"/>
    </row>
    <row r="31" spans="1:13" x14ac:dyDescent="0.3">
      <c r="A31" s="744">
        <f>'Equitable Share'!$A31</f>
        <v>0</v>
      </c>
      <c r="B31" s="744"/>
      <c r="C31" s="744"/>
      <c r="D31" s="459" t="str">
        <f>'Equitable Share'!D31</f>
        <v xml:space="preserve"> </v>
      </c>
      <c r="E31" s="459"/>
      <c r="F31" s="459"/>
      <c r="G31" s="459"/>
      <c r="H31" s="459"/>
      <c r="I31" s="719">
        <f>'Equitable Share'!I31</f>
        <v>0</v>
      </c>
      <c r="J31" s="719"/>
      <c r="K31" s="720" t="str">
        <f t="shared" si="0"/>
        <v xml:space="preserve"> </v>
      </c>
      <c r="L31" s="721"/>
      <c r="M31" s="722"/>
    </row>
    <row r="32" spans="1:13" x14ac:dyDescent="0.3">
      <c r="A32" s="711">
        <f>'Equitable Share'!$A32</f>
        <v>0</v>
      </c>
      <c r="B32" s="711"/>
      <c r="C32" s="711"/>
      <c r="D32" s="460" t="str">
        <f>'Equitable Share'!D32</f>
        <v xml:space="preserve"> </v>
      </c>
      <c r="E32" s="460"/>
      <c r="F32" s="460"/>
      <c r="G32" s="460"/>
      <c r="H32" s="460"/>
      <c r="I32" s="712">
        <f>'Equitable Share'!I32</f>
        <v>0</v>
      </c>
      <c r="J32" s="712"/>
      <c r="K32" s="713" t="str">
        <f t="shared" si="0"/>
        <v xml:space="preserve"> </v>
      </c>
      <c r="L32" s="714"/>
      <c r="M32" s="715"/>
    </row>
    <row r="33" spans="1:13" x14ac:dyDescent="0.3">
      <c r="A33" s="744">
        <f>'Equitable Share'!$A33</f>
        <v>0</v>
      </c>
      <c r="B33" s="744"/>
      <c r="C33" s="744"/>
      <c r="D33" s="459" t="str">
        <f>'Equitable Share'!D33</f>
        <v xml:space="preserve"> </v>
      </c>
      <c r="E33" s="459"/>
      <c r="F33" s="459"/>
      <c r="G33" s="459"/>
      <c r="H33" s="459"/>
      <c r="I33" s="719">
        <f>'Equitable Share'!I33</f>
        <v>0</v>
      </c>
      <c r="J33" s="719"/>
      <c r="K33" s="720" t="str">
        <f t="shared" si="0"/>
        <v xml:space="preserve"> </v>
      </c>
      <c r="L33" s="721"/>
      <c r="M33" s="722"/>
    </row>
    <row r="34" spans="1:13" x14ac:dyDescent="0.3">
      <c r="A34" s="711">
        <f>'Equitable Share'!$A34</f>
        <v>0</v>
      </c>
      <c r="B34" s="711"/>
      <c r="C34" s="711"/>
      <c r="D34" s="460" t="str">
        <f>'Equitable Share'!D34</f>
        <v xml:space="preserve"> </v>
      </c>
      <c r="E34" s="460"/>
      <c r="F34" s="460"/>
      <c r="G34" s="460"/>
      <c r="H34" s="460"/>
      <c r="I34" s="712">
        <f>'Equitable Share'!I34</f>
        <v>0</v>
      </c>
      <c r="J34" s="712"/>
      <c r="K34" s="713" t="str">
        <f t="shared" si="0"/>
        <v xml:space="preserve"> </v>
      </c>
      <c r="L34" s="714"/>
      <c r="M34" s="715"/>
    </row>
    <row r="35" spans="1:13" x14ac:dyDescent="0.3">
      <c r="A35" s="744">
        <f>'Equitable Share'!$A35</f>
        <v>0</v>
      </c>
      <c r="B35" s="744"/>
      <c r="C35" s="744"/>
      <c r="D35" s="459" t="str">
        <f>'Equitable Share'!D35</f>
        <v xml:space="preserve"> </v>
      </c>
      <c r="E35" s="459"/>
      <c r="F35" s="459"/>
      <c r="G35" s="459"/>
      <c r="H35" s="459"/>
      <c r="I35" s="719">
        <f>'Equitable Share'!I35</f>
        <v>0</v>
      </c>
      <c r="J35" s="719"/>
      <c r="K35" s="720" t="str">
        <f t="shared" si="0"/>
        <v xml:space="preserve"> </v>
      </c>
      <c r="L35" s="721"/>
      <c r="M35" s="722"/>
    </row>
    <row r="36" spans="1:13" x14ac:dyDescent="0.3">
      <c r="A36" s="711">
        <f>'Equitable Share'!$A36</f>
        <v>0</v>
      </c>
      <c r="B36" s="711"/>
      <c r="C36" s="711"/>
      <c r="D36" s="460" t="str">
        <f>'Equitable Share'!D36</f>
        <v xml:space="preserve"> </v>
      </c>
      <c r="E36" s="460"/>
      <c r="F36" s="460"/>
      <c r="G36" s="460"/>
      <c r="H36" s="460"/>
      <c r="I36" s="712">
        <f>'Equitable Share'!I36</f>
        <v>0</v>
      </c>
      <c r="J36" s="712"/>
      <c r="K36" s="713" t="str">
        <f t="shared" si="0"/>
        <v xml:space="preserve"> </v>
      </c>
      <c r="L36" s="714"/>
      <c r="M36" s="715"/>
    </row>
    <row r="37" spans="1:13" x14ac:dyDescent="0.3">
      <c r="A37" s="744">
        <f>'Equitable Share'!$A37</f>
        <v>0</v>
      </c>
      <c r="B37" s="744"/>
      <c r="C37" s="744"/>
      <c r="D37" s="459" t="str">
        <f>'Equitable Share'!D37</f>
        <v xml:space="preserve"> </v>
      </c>
      <c r="E37" s="459"/>
      <c r="F37" s="459"/>
      <c r="G37" s="459"/>
      <c r="H37" s="459"/>
      <c r="I37" s="719">
        <f>'Equitable Share'!I37</f>
        <v>0</v>
      </c>
      <c r="J37" s="719"/>
      <c r="K37" s="720" t="str">
        <f t="shared" si="0"/>
        <v xml:space="preserve"> </v>
      </c>
      <c r="L37" s="721"/>
      <c r="M37" s="722"/>
    </row>
    <row r="38" spans="1:13" x14ac:dyDescent="0.3">
      <c r="A38" s="711">
        <f>'Equitable Share'!$A38</f>
        <v>0</v>
      </c>
      <c r="B38" s="711"/>
      <c r="C38" s="711"/>
      <c r="D38" s="460" t="str">
        <f>'Equitable Share'!D38</f>
        <v xml:space="preserve"> </v>
      </c>
      <c r="E38" s="460"/>
      <c r="F38" s="460"/>
      <c r="G38" s="460"/>
      <c r="H38" s="460"/>
      <c r="I38" s="712">
        <f>'Equitable Share'!I38</f>
        <v>0</v>
      </c>
      <c r="J38" s="712"/>
      <c r="K38" s="713" t="str">
        <f t="shared" si="0"/>
        <v xml:space="preserve"> </v>
      </c>
      <c r="L38" s="714"/>
      <c r="M38" s="715"/>
    </row>
    <row r="39" spans="1:13" x14ac:dyDescent="0.3">
      <c r="A39" s="744">
        <f>'Equitable Share'!$A39</f>
        <v>0</v>
      </c>
      <c r="B39" s="744"/>
      <c r="C39" s="744"/>
      <c r="D39" s="459" t="str">
        <f>'Equitable Share'!D39</f>
        <v xml:space="preserve"> </v>
      </c>
      <c r="E39" s="459"/>
      <c r="F39" s="459"/>
      <c r="G39" s="459"/>
      <c r="H39" s="459"/>
      <c r="I39" s="719">
        <f>'Equitable Share'!I39</f>
        <v>0</v>
      </c>
      <c r="J39" s="719"/>
      <c r="K39" s="720" t="str">
        <f t="shared" si="0"/>
        <v xml:space="preserve"> </v>
      </c>
      <c r="L39" s="721"/>
      <c r="M39" s="722"/>
    </row>
    <row r="40" spans="1:13" x14ac:dyDescent="0.3">
      <c r="A40" s="711">
        <f>'Equitable Share'!$A40</f>
        <v>0</v>
      </c>
      <c r="B40" s="711"/>
      <c r="C40" s="711"/>
      <c r="D40" s="460" t="str">
        <f>'Equitable Share'!D40</f>
        <v xml:space="preserve"> </v>
      </c>
      <c r="E40" s="460"/>
      <c r="F40" s="460"/>
      <c r="G40" s="460"/>
      <c r="H40" s="460"/>
      <c r="I40" s="712">
        <f>'Equitable Share'!I40</f>
        <v>0</v>
      </c>
      <c r="J40" s="712"/>
      <c r="K40" s="713" t="str">
        <f t="shared" si="0"/>
        <v xml:space="preserve"> </v>
      </c>
      <c r="L40" s="714"/>
      <c r="M40" s="715"/>
    </row>
    <row r="41" spans="1:13" x14ac:dyDescent="0.3">
      <c r="A41" s="744">
        <f>'Equitable Share'!$A41</f>
        <v>0</v>
      </c>
      <c r="B41" s="744"/>
      <c r="C41" s="744"/>
      <c r="D41" s="459" t="str">
        <f>'Equitable Share'!D41</f>
        <v xml:space="preserve"> </v>
      </c>
      <c r="E41" s="459"/>
      <c r="F41" s="459"/>
      <c r="G41" s="459"/>
      <c r="H41" s="459"/>
      <c r="I41" s="719">
        <f>'Equitable Share'!I41</f>
        <v>0</v>
      </c>
      <c r="J41" s="719"/>
      <c r="K41" s="720" t="str">
        <f t="shared" si="0"/>
        <v xml:space="preserve"> </v>
      </c>
      <c r="L41" s="721"/>
      <c r="M41" s="722"/>
    </row>
    <row r="42" spans="1:13" x14ac:dyDescent="0.3">
      <c r="A42" s="711">
        <f>'Equitable Share'!$A42</f>
        <v>0</v>
      </c>
      <c r="B42" s="711"/>
      <c r="C42" s="711"/>
      <c r="D42" s="460" t="str">
        <f>'Equitable Share'!D42</f>
        <v xml:space="preserve"> </v>
      </c>
      <c r="E42" s="460"/>
      <c r="F42" s="460"/>
      <c r="G42" s="460"/>
      <c r="H42" s="460"/>
      <c r="I42" s="712">
        <f>'Equitable Share'!I42</f>
        <v>0</v>
      </c>
      <c r="J42" s="712"/>
      <c r="K42" s="713" t="str">
        <f t="shared" si="0"/>
        <v xml:space="preserve"> </v>
      </c>
      <c r="L42" s="714"/>
      <c r="M42" s="715"/>
    </row>
    <row r="43" spans="1:13" x14ac:dyDescent="0.3">
      <c r="A43" s="744">
        <f>'Equitable Share'!$A43</f>
        <v>0</v>
      </c>
      <c r="B43" s="744"/>
      <c r="C43" s="744"/>
      <c r="D43" s="459" t="str">
        <f>'Equitable Share'!D43</f>
        <v xml:space="preserve"> </v>
      </c>
      <c r="E43" s="459"/>
      <c r="F43" s="459"/>
      <c r="G43" s="459"/>
      <c r="H43" s="459"/>
      <c r="I43" s="719">
        <f>'Equitable Share'!I43</f>
        <v>0</v>
      </c>
      <c r="J43" s="719"/>
      <c r="K43" s="720" t="str">
        <f t="shared" si="0"/>
        <v xml:space="preserve"> </v>
      </c>
      <c r="L43" s="721"/>
      <c r="M43" s="722"/>
    </row>
    <row r="44" spans="1:13" x14ac:dyDescent="0.3">
      <c r="A44" s="711">
        <f>'Equitable Share'!$A44</f>
        <v>0</v>
      </c>
      <c r="B44" s="711"/>
      <c r="C44" s="711"/>
      <c r="D44" s="460" t="str">
        <f>'Equitable Share'!D44</f>
        <v xml:space="preserve"> </v>
      </c>
      <c r="E44" s="460"/>
      <c r="F44" s="460"/>
      <c r="G44" s="460"/>
      <c r="H44" s="460"/>
      <c r="I44" s="712">
        <f>'Equitable Share'!I44</f>
        <v>0</v>
      </c>
      <c r="J44" s="712"/>
      <c r="K44" s="713" t="str">
        <f t="shared" si="0"/>
        <v xml:space="preserve"> </v>
      </c>
      <c r="L44" s="714"/>
      <c r="M44" s="715"/>
    </row>
    <row r="45" spans="1:13" x14ac:dyDescent="0.3">
      <c r="A45" s="744">
        <f>'Equitable Share'!$A45</f>
        <v>0</v>
      </c>
      <c r="B45" s="744"/>
      <c r="C45" s="744"/>
      <c r="D45" s="459" t="str">
        <f>'Equitable Share'!D45</f>
        <v xml:space="preserve"> </v>
      </c>
      <c r="E45" s="459"/>
      <c r="F45" s="459"/>
      <c r="G45" s="459"/>
      <c r="H45" s="459"/>
      <c r="I45" s="719">
        <f>'Equitable Share'!I45</f>
        <v>0</v>
      </c>
      <c r="J45" s="719"/>
      <c r="K45" s="720" t="str">
        <f t="shared" si="0"/>
        <v xml:space="preserve"> </v>
      </c>
      <c r="L45" s="721"/>
      <c r="M45" s="722"/>
    </row>
    <row r="46" spans="1:13" x14ac:dyDescent="0.3">
      <c r="A46" s="711">
        <f>'Equitable Share'!$A46</f>
        <v>0</v>
      </c>
      <c r="B46" s="711"/>
      <c r="C46" s="711"/>
      <c r="D46" s="460" t="str">
        <f>'Equitable Share'!D46</f>
        <v xml:space="preserve"> </v>
      </c>
      <c r="E46" s="460"/>
      <c r="F46" s="460"/>
      <c r="G46" s="460"/>
      <c r="H46" s="460"/>
      <c r="I46" s="712">
        <f>'Equitable Share'!I46</f>
        <v>0</v>
      </c>
      <c r="J46" s="712"/>
      <c r="K46" s="713" t="str">
        <f t="shared" si="0"/>
        <v xml:space="preserve"> </v>
      </c>
      <c r="L46" s="714"/>
      <c r="M46" s="715"/>
    </row>
    <row r="47" spans="1:13" x14ac:dyDescent="0.3">
      <c r="A47" s="744">
        <f>'Equitable Share'!$A47</f>
        <v>0</v>
      </c>
      <c r="B47" s="744"/>
      <c r="C47" s="744"/>
      <c r="D47" s="459" t="str">
        <f>'Equitable Share'!D47</f>
        <v xml:space="preserve"> </v>
      </c>
      <c r="E47" s="459"/>
      <c r="F47" s="459"/>
      <c r="G47" s="459"/>
      <c r="H47" s="459"/>
      <c r="I47" s="719">
        <f>'Equitable Share'!I47</f>
        <v>0</v>
      </c>
      <c r="J47" s="719"/>
      <c r="K47" s="720" t="str">
        <f t="shared" si="0"/>
        <v xml:space="preserve"> </v>
      </c>
      <c r="L47" s="721"/>
      <c r="M47" s="722"/>
    </row>
    <row r="48" spans="1:13" x14ac:dyDescent="0.3">
      <c r="A48" s="711">
        <f>'Equitable Share'!$A48</f>
        <v>0</v>
      </c>
      <c r="B48" s="711"/>
      <c r="C48" s="711"/>
      <c r="D48" s="460" t="str">
        <f>'Equitable Share'!D48</f>
        <v xml:space="preserve"> </v>
      </c>
      <c r="E48" s="460"/>
      <c r="F48" s="460"/>
      <c r="G48" s="460"/>
      <c r="H48" s="460"/>
      <c r="I48" s="712">
        <f>'Equitable Share'!I48</f>
        <v>0</v>
      </c>
      <c r="J48" s="712"/>
      <c r="K48" s="713" t="str">
        <f t="shared" si="0"/>
        <v xml:space="preserve"> </v>
      </c>
      <c r="L48" s="714"/>
      <c r="M48" s="715"/>
    </row>
    <row r="49" spans="1:15" x14ac:dyDescent="0.3">
      <c r="A49" s="744">
        <f>'Equitable Share'!$A49</f>
        <v>0</v>
      </c>
      <c r="B49" s="744"/>
      <c r="C49" s="744"/>
      <c r="D49" s="459" t="str">
        <f>'Equitable Share'!D49</f>
        <v xml:space="preserve"> </v>
      </c>
      <c r="E49" s="459"/>
      <c r="F49" s="459"/>
      <c r="G49" s="459"/>
      <c r="H49" s="459"/>
      <c r="I49" s="719">
        <f>'Equitable Share'!I49</f>
        <v>0</v>
      </c>
      <c r="J49" s="719"/>
      <c r="K49" s="720" t="str">
        <f t="shared" si="0"/>
        <v xml:space="preserve"> </v>
      </c>
      <c r="L49" s="721"/>
      <c r="M49" s="722"/>
    </row>
    <row r="50" spans="1:15" x14ac:dyDescent="0.3">
      <c r="A50" s="711">
        <f>'Equitable Share'!$A50</f>
        <v>0</v>
      </c>
      <c r="B50" s="711"/>
      <c r="C50" s="711"/>
      <c r="D50" s="460" t="str">
        <f>'Equitable Share'!D50</f>
        <v xml:space="preserve"> </v>
      </c>
      <c r="E50" s="460"/>
      <c r="F50" s="460"/>
      <c r="G50" s="460"/>
      <c r="H50" s="460"/>
      <c r="I50" s="712">
        <f>'Equitable Share'!I50</f>
        <v>0</v>
      </c>
      <c r="J50" s="712"/>
      <c r="K50" s="713" t="str">
        <f t="shared" si="0"/>
        <v xml:space="preserve"> </v>
      </c>
      <c r="L50" s="714"/>
      <c r="M50" s="715"/>
    </row>
    <row r="51" spans="1:15" x14ac:dyDescent="0.3">
      <c r="A51" s="744">
        <f>'Equitable Share'!$A51</f>
        <v>0</v>
      </c>
      <c r="B51" s="744"/>
      <c r="C51" s="744"/>
      <c r="D51" s="459" t="str">
        <f>'Equitable Share'!D51</f>
        <v xml:space="preserve"> </v>
      </c>
      <c r="E51" s="459"/>
      <c r="F51" s="459"/>
      <c r="G51" s="459"/>
      <c r="H51" s="459"/>
      <c r="I51" s="719">
        <f>'Equitable Share'!I51</f>
        <v>0</v>
      </c>
      <c r="J51" s="719"/>
      <c r="K51" s="720" t="str">
        <f t="shared" si="0"/>
        <v xml:space="preserve"> </v>
      </c>
      <c r="L51" s="721"/>
      <c r="M51" s="722"/>
    </row>
    <row r="52" spans="1:15" x14ac:dyDescent="0.3">
      <c r="A52" s="711">
        <f>'Equitable Share'!$A52</f>
        <v>0</v>
      </c>
      <c r="B52" s="711"/>
      <c r="C52" s="711"/>
      <c r="D52" s="460" t="str">
        <f>'Equitable Share'!D52</f>
        <v xml:space="preserve"> </v>
      </c>
      <c r="E52" s="460"/>
      <c r="F52" s="460"/>
      <c r="G52" s="460"/>
      <c r="H52" s="460"/>
      <c r="I52" s="712">
        <f>'Equitable Share'!I52</f>
        <v>0</v>
      </c>
      <c r="J52" s="712"/>
      <c r="K52" s="713" t="str">
        <f t="shared" si="0"/>
        <v xml:space="preserve"> </v>
      </c>
      <c r="L52" s="714"/>
      <c r="M52" s="715"/>
    </row>
    <row r="53" spans="1:15" x14ac:dyDescent="0.3">
      <c r="A53" s="744">
        <f>'Equitable Share'!$A53</f>
        <v>0</v>
      </c>
      <c r="B53" s="744"/>
      <c r="C53" s="744"/>
      <c r="D53" s="459" t="str">
        <f>'Equitable Share'!D53</f>
        <v xml:space="preserve"> </v>
      </c>
      <c r="E53" s="459"/>
      <c r="F53" s="459"/>
      <c r="G53" s="459"/>
      <c r="H53" s="459"/>
      <c r="I53" s="719">
        <f>'Equitable Share'!I53</f>
        <v>0</v>
      </c>
      <c r="J53" s="719"/>
      <c r="K53" s="720" t="str">
        <f t="shared" si="0"/>
        <v xml:space="preserve"> </v>
      </c>
      <c r="L53" s="721"/>
      <c r="M53" s="722"/>
    </row>
    <row r="54" spans="1:15" x14ac:dyDescent="0.3">
      <c r="A54" s="711">
        <f>'Equitable Share'!$A54</f>
        <v>0</v>
      </c>
      <c r="B54" s="711"/>
      <c r="C54" s="711"/>
      <c r="D54" s="460" t="str">
        <f>'Equitable Share'!D54</f>
        <v xml:space="preserve"> </v>
      </c>
      <c r="E54" s="460"/>
      <c r="F54" s="460"/>
      <c r="G54" s="460"/>
      <c r="H54" s="460"/>
      <c r="I54" s="712">
        <f>'Equitable Share'!I54</f>
        <v>0</v>
      </c>
      <c r="J54" s="712"/>
      <c r="K54" s="713" t="str">
        <f t="shared" si="0"/>
        <v xml:space="preserve"> </v>
      </c>
      <c r="L54" s="714"/>
      <c r="M54" s="715"/>
    </row>
    <row r="55" spans="1:15" x14ac:dyDescent="0.3">
      <c r="A55" s="744">
        <f>'Equitable Share'!$A55</f>
        <v>0</v>
      </c>
      <c r="B55" s="744"/>
      <c r="C55" s="744"/>
      <c r="D55" s="459" t="str">
        <f>'Equitable Share'!D55</f>
        <v xml:space="preserve"> </v>
      </c>
      <c r="E55" s="459"/>
      <c r="F55" s="459"/>
      <c r="G55" s="459"/>
      <c r="H55" s="459"/>
      <c r="I55" s="719">
        <f>'Equitable Share'!I55</f>
        <v>0</v>
      </c>
      <c r="J55" s="719"/>
      <c r="K55" s="720" t="str">
        <f t="shared" si="0"/>
        <v xml:space="preserve"> </v>
      </c>
      <c r="L55" s="721"/>
      <c r="M55" s="722"/>
    </row>
    <row r="56" spans="1:15" x14ac:dyDescent="0.3">
      <c r="A56" s="710"/>
      <c r="B56" s="710"/>
      <c r="C56" s="710"/>
      <c r="D56" s="710"/>
      <c r="E56" s="710"/>
      <c r="F56" s="710"/>
      <c r="G56" s="710"/>
      <c r="H56" s="710"/>
      <c r="I56" s="459">
        <f>SUM(I12:J55)</f>
        <v>0</v>
      </c>
      <c r="J56" s="459"/>
      <c r="K56" s="709" t="str">
        <f t="shared" si="0"/>
        <v xml:space="preserve"> </v>
      </c>
      <c r="L56" s="709"/>
      <c r="M56" s="709"/>
      <c r="O56" s="61"/>
    </row>
    <row r="57" spans="1:15" x14ac:dyDescent="0.3">
      <c r="A57" s="60"/>
      <c r="B57" s="30"/>
      <c r="C57" s="30"/>
      <c r="D57" s="30"/>
      <c r="E57" s="30"/>
      <c r="F57" s="30"/>
      <c r="G57" s="30"/>
      <c r="H57" s="30"/>
      <c r="I57" s="475" t="s">
        <v>108</v>
      </c>
      <c r="J57" s="475"/>
      <c r="K57" s="475" t="s">
        <v>109</v>
      </c>
      <c r="L57" s="475"/>
      <c r="M57" s="476"/>
    </row>
    <row r="58" spans="1:15" ht="15" thickBot="1" x14ac:dyDescent="0.35">
      <c r="A58" s="62"/>
      <c r="B58" s="63"/>
      <c r="C58" s="63"/>
      <c r="D58" s="63"/>
      <c r="E58" s="63"/>
      <c r="F58" s="63"/>
      <c r="G58" s="63"/>
      <c r="H58" s="63"/>
      <c r="I58" s="63"/>
      <c r="J58" s="63"/>
      <c r="K58" s="63"/>
      <c r="L58" s="63"/>
      <c r="M58" s="64"/>
    </row>
  </sheetData>
  <sheetProtection algorithmName="SHA-512" hashValue="m4xdkol622EcvmqeGUsDsDQ43kEAtCjBZliKiB44nAIpwq5s/91i8cMmc2TJYIqZmwHQr8kJx4HUfgtIPO79UQ==" saltValue="d1KvsL8QfrU3LJwMwDqsHw==" spinCount="100000" sheet="1" objects="1" scenarios="1" selectLockedCells="1"/>
  <mergeCells count="199">
    <mergeCell ref="A1:M1"/>
    <mergeCell ref="A2:M2"/>
    <mergeCell ref="C4:D4"/>
    <mergeCell ref="F4:H4"/>
    <mergeCell ref="J4:L4"/>
    <mergeCell ref="C5:D5"/>
    <mergeCell ref="F5:I5"/>
    <mergeCell ref="J5:L5"/>
    <mergeCell ref="A12:C12"/>
    <mergeCell ref="D12:H12"/>
    <mergeCell ref="I12:J12"/>
    <mergeCell ref="K12:M12"/>
    <mergeCell ref="A13:C13"/>
    <mergeCell ref="D13:H13"/>
    <mergeCell ref="I13:J13"/>
    <mergeCell ref="K13:M13"/>
    <mergeCell ref="C7:D7"/>
    <mergeCell ref="F7:H7"/>
    <mergeCell ref="J7:L7"/>
    <mergeCell ref="C8:D8"/>
    <mergeCell ref="J8:L8"/>
    <mergeCell ref="A11:C11"/>
    <mergeCell ref="D11:H11"/>
    <mergeCell ref="I11:J11"/>
    <mergeCell ref="K11:M11"/>
    <mergeCell ref="A16:C16"/>
    <mergeCell ref="D16:H16"/>
    <mergeCell ref="I16:J16"/>
    <mergeCell ref="K16:M16"/>
    <mergeCell ref="A17:C17"/>
    <mergeCell ref="D17:H17"/>
    <mergeCell ref="I17:J17"/>
    <mergeCell ref="K17:M17"/>
    <mergeCell ref="A14:C14"/>
    <mergeCell ref="D14:H14"/>
    <mergeCell ref="I14:J14"/>
    <mergeCell ref="K14:M14"/>
    <mergeCell ref="A15:C15"/>
    <mergeCell ref="D15:H15"/>
    <mergeCell ref="I15:J15"/>
    <mergeCell ref="K15:M15"/>
    <mergeCell ref="A20:C20"/>
    <mergeCell ref="D20:H20"/>
    <mergeCell ref="I20:J20"/>
    <mergeCell ref="K20:M20"/>
    <mergeCell ref="A21:C21"/>
    <mergeCell ref="D21:H21"/>
    <mergeCell ref="I21:J21"/>
    <mergeCell ref="K21:M21"/>
    <mergeCell ref="A18:C18"/>
    <mergeCell ref="D18:H18"/>
    <mergeCell ref="I18:J18"/>
    <mergeCell ref="K18:M18"/>
    <mergeCell ref="A19:C19"/>
    <mergeCell ref="D19:H19"/>
    <mergeCell ref="I19:J19"/>
    <mergeCell ref="K19:M19"/>
    <mergeCell ref="A24:C24"/>
    <mergeCell ref="D24:H24"/>
    <mergeCell ref="I24:J24"/>
    <mergeCell ref="K24:M24"/>
    <mergeCell ref="A25:C25"/>
    <mergeCell ref="D25:H25"/>
    <mergeCell ref="I25:J25"/>
    <mergeCell ref="K25:M25"/>
    <mergeCell ref="A22:C22"/>
    <mergeCell ref="D22:H22"/>
    <mergeCell ref="I22:J22"/>
    <mergeCell ref="K22:M22"/>
    <mergeCell ref="A23:C23"/>
    <mergeCell ref="D23:H23"/>
    <mergeCell ref="I23:J23"/>
    <mergeCell ref="K23:M23"/>
    <mergeCell ref="A28:C28"/>
    <mergeCell ref="D28:H28"/>
    <mergeCell ref="I28:J28"/>
    <mergeCell ref="K28:M28"/>
    <mergeCell ref="A29:C29"/>
    <mergeCell ref="D29:H29"/>
    <mergeCell ref="I29:J29"/>
    <mergeCell ref="K29:M29"/>
    <mergeCell ref="A26:C26"/>
    <mergeCell ref="D26:H26"/>
    <mergeCell ref="I26:J26"/>
    <mergeCell ref="K26:M26"/>
    <mergeCell ref="A27:C27"/>
    <mergeCell ref="D27:H27"/>
    <mergeCell ref="I27:J27"/>
    <mergeCell ref="K27:M27"/>
    <mergeCell ref="A32:C32"/>
    <mergeCell ref="D32:H32"/>
    <mergeCell ref="I32:J32"/>
    <mergeCell ref="K32:M32"/>
    <mergeCell ref="A33:C33"/>
    <mergeCell ref="D33:H33"/>
    <mergeCell ref="I33:J33"/>
    <mergeCell ref="K33:M33"/>
    <mergeCell ref="A30:C30"/>
    <mergeCell ref="D30:H30"/>
    <mergeCell ref="I30:J30"/>
    <mergeCell ref="K30:M30"/>
    <mergeCell ref="A31:C31"/>
    <mergeCell ref="D31:H31"/>
    <mergeCell ref="I31:J31"/>
    <mergeCell ref="K31:M31"/>
    <mergeCell ref="A36:C36"/>
    <mergeCell ref="D36:H36"/>
    <mergeCell ref="I36:J36"/>
    <mergeCell ref="K36:M36"/>
    <mergeCell ref="A37:C37"/>
    <mergeCell ref="D37:H37"/>
    <mergeCell ref="I37:J37"/>
    <mergeCell ref="K37:M37"/>
    <mergeCell ref="A34:C34"/>
    <mergeCell ref="D34:H34"/>
    <mergeCell ref="I34:J34"/>
    <mergeCell ref="K34:M34"/>
    <mergeCell ref="A35:C35"/>
    <mergeCell ref="D35:H35"/>
    <mergeCell ref="I35:J35"/>
    <mergeCell ref="K35:M35"/>
    <mergeCell ref="A40:C40"/>
    <mergeCell ref="D40:H40"/>
    <mergeCell ref="I40:J40"/>
    <mergeCell ref="K40:M40"/>
    <mergeCell ref="A41:C41"/>
    <mergeCell ref="D41:H41"/>
    <mergeCell ref="I41:J41"/>
    <mergeCell ref="K41:M41"/>
    <mergeCell ref="A38:C38"/>
    <mergeCell ref="D38:H38"/>
    <mergeCell ref="I38:J38"/>
    <mergeCell ref="K38:M38"/>
    <mergeCell ref="A39:C39"/>
    <mergeCell ref="D39:H39"/>
    <mergeCell ref="I39:J39"/>
    <mergeCell ref="K39:M39"/>
    <mergeCell ref="A44:C44"/>
    <mergeCell ref="D44:H44"/>
    <mergeCell ref="I44:J44"/>
    <mergeCell ref="K44:M44"/>
    <mergeCell ref="A45:C45"/>
    <mergeCell ref="D45:H45"/>
    <mergeCell ref="I45:J45"/>
    <mergeCell ref="K45:M45"/>
    <mergeCell ref="A42:C42"/>
    <mergeCell ref="D42:H42"/>
    <mergeCell ref="I42:J42"/>
    <mergeCell ref="K42:M42"/>
    <mergeCell ref="A43:C43"/>
    <mergeCell ref="D43:H43"/>
    <mergeCell ref="I43:J43"/>
    <mergeCell ref="K43:M43"/>
    <mergeCell ref="A48:C48"/>
    <mergeCell ref="D48:H48"/>
    <mergeCell ref="I48:J48"/>
    <mergeCell ref="K48:M48"/>
    <mergeCell ref="A49:C49"/>
    <mergeCell ref="D49:H49"/>
    <mergeCell ref="I49:J49"/>
    <mergeCell ref="K49:M49"/>
    <mergeCell ref="A46:C46"/>
    <mergeCell ref="D46:H46"/>
    <mergeCell ref="I46:J46"/>
    <mergeCell ref="K46:M46"/>
    <mergeCell ref="A47:C47"/>
    <mergeCell ref="D47:H47"/>
    <mergeCell ref="I47:J47"/>
    <mergeCell ref="K47:M47"/>
    <mergeCell ref="A52:C52"/>
    <mergeCell ref="D52:H52"/>
    <mergeCell ref="I52:J52"/>
    <mergeCell ref="K52:M52"/>
    <mergeCell ref="A53:C53"/>
    <mergeCell ref="D53:H53"/>
    <mergeCell ref="I53:J53"/>
    <mergeCell ref="K53:M53"/>
    <mergeCell ref="A50:C50"/>
    <mergeCell ref="D50:H50"/>
    <mergeCell ref="I50:J50"/>
    <mergeCell ref="K50:M50"/>
    <mergeCell ref="A51:C51"/>
    <mergeCell ref="D51:H51"/>
    <mergeCell ref="I51:J51"/>
    <mergeCell ref="K51:M51"/>
    <mergeCell ref="A56:C56"/>
    <mergeCell ref="D56:H56"/>
    <mergeCell ref="I56:J56"/>
    <mergeCell ref="K56:M56"/>
    <mergeCell ref="I57:J57"/>
    <mergeCell ref="K57:M57"/>
    <mergeCell ref="A54:C54"/>
    <mergeCell ref="D54:H54"/>
    <mergeCell ref="I54:J54"/>
    <mergeCell ref="K54:M54"/>
    <mergeCell ref="A55:C55"/>
    <mergeCell ref="D55:H55"/>
    <mergeCell ref="I55:J55"/>
    <mergeCell ref="K55:M55"/>
  </mergeCells>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2EFC9-490E-4DDA-B8F2-A7D43003D676}">
  <sheetPr codeName="Sheet24">
    <tabColor rgb="FFFF7C80"/>
  </sheetPr>
  <dimension ref="A1:L114"/>
  <sheetViews>
    <sheetView showGridLines="0" zoomScaleNormal="100" workbookViewId="0">
      <selection activeCell="C17" sqref="C17"/>
    </sheetView>
  </sheetViews>
  <sheetFormatPr defaultColWidth="8.88671875" defaultRowHeight="14.4" x14ac:dyDescent="0.3"/>
  <cols>
    <col min="1" max="1" width="42.6640625" style="14" customWidth="1"/>
    <col min="2" max="2" width="52.6640625" style="14" customWidth="1"/>
    <col min="3" max="3" width="29.5546875" style="14" customWidth="1"/>
    <col min="4" max="4" width="16.44140625" style="14" customWidth="1"/>
    <col min="5" max="6" width="1.88671875" style="14" customWidth="1"/>
    <col min="7" max="7" width="46.5546875" style="14" customWidth="1"/>
    <col min="8" max="8" width="15.21875" style="14" customWidth="1"/>
    <col min="9" max="16384" width="8.88671875" style="14"/>
  </cols>
  <sheetData>
    <row r="1" spans="1:12" ht="43.2" customHeight="1" x14ac:dyDescent="0.3">
      <c r="A1" s="763" t="s">
        <v>426</v>
      </c>
      <c r="B1" s="764"/>
      <c r="C1" s="764"/>
      <c r="D1" s="764"/>
      <c r="E1" s="764"/>
      <c r="F1" s="764"/>
      <c r="G1" s="764"/>
      <c r="H1" s="765"/>
    </row>
    <row r="2" spans="1:12" ht="14.4" customHeight="1" x14ac:dyDescent="0.3">
      <c r="A2" s="544" t="s">
        <v>2028</v>
      </c>
      <c r="B2" s="544"/>
      <c r="C2" s="544"/>
      <c r="D2" s="544"/>
      <c r="E2" s="544"/>
      <c r="F2" s="544"/>
      <c r="G2" s="544"/>
      <c r="H2" s="544"/>
    </row>
    <row r="3" spans="1:12" s="41" customFormat="1" ht="26.4" customHeight="1" thickBot="1" x14ac:dyDescent="0.35">
      <c r="A3" s="545"/>
      <c r="B3" s="545"/>
      <c r="C3" s="545"/>
      <c r="D3" s="545"/>
      <c r="E3" s="545"/>
      <c r="F3" s="545"/>
      <c r="G3" s="545"/>
      <c r="H3" s="545"/>
    </row>
    <row r="4" spans="1:12" s="41" customFormat="1" ht="14.4" customHeight="1" thickBot="1" x14ac:dyDescent="0.4">
      <c r="A4" s="69" t="s">
        <v>1968</v>
      </c>
      <c r="B4" s="69" t="s">
        <v>32</v>
      </c>
      <c r="C4" s="224" t="s">
        <v>33</v>
      </c>
      <c r="D4" s="69" t="s">
        <v>34</v>
      </c>
      <c r="E4" s="45"/>
      <c r="F4" s="45"/>
      <c r="G4" s="45"/>
      <c r="H4" s="45"/>
      <c r="I4" s="45"/>
      <c r="J4" s="45"/>
      <c r="K4" s="45"/>
      <c r="L4" s="45"/>
    </row>
    <row r="5" spans="1:12" ht="14.4" customHeight="1" x14ac:dyDescent="0.35">
      <c r="A5" s="70" t="s">
        <v>2025</v>
      </c>
      <c r="B5" s="70" t="s">
        <v>1998</v>
      </c>
      <c r="C5" s="70" t="s">
        <v>407</v>
      </c>
      <c r="D5" s="71" t="s">
        <v>76</v>
      </c>
      <c r="G5" s="6" t="s">
        <v>66</v>
      </c>
      <c r="H5" s="7" t="s">
        <v>34</v>
      </c>
    </row>
    <row r="6" spans="1:12" ht="14.4" customHeight="1" x14ac:dyDescent="0.3">
      <c r="A6" s="4"/>
      <c r="B6" s="133"/>
      <c r="C6" s="4"/>
      <c r="D6" s="5"/>
      <c r="G6" s="8" t="s">
        <v>81</v>
      </c>
      <c r="H6" s="9">
        <f>SUMIF($C$6:$C$111,"Instruction: Salary (Cert./Non Cert.)", $D$6:$D$111)</f>
        <v>0</v>
      </c>
    </row>
    <row r="7" spans="1:12" ht="14.4" customHeight="1" x14ac:dyDescent="0.3">
      <c r="A7" s="4"/>
      <c r="B7" s="133"/>
      <c r="C7" s="4"/>
      <c r="D7" s="5"/>
      <c r="G7" s="8" t="s">
        <v>82</v>
      </c>
      <c r="H7" s="9">
        <f>SUMIF($C$6:$C$111,"Instruction: Benefits (Cert./Non Cert.)", $D$6:$D$111)</f>
        <v>0</v>
      </c>
    </row>
    <row r="8" spans="1:12" ht="14.4" customHeight="1" x14ac:dyDescent="0.3">
      <c r="A8" s="4"/>
      <c r="B8" s="133"/>
      <c r="C8" s="4"/>
      <c r="D8" s="5"/>
      <c r="G8" s="10" t="s">
        <v>35</v>
      </c>
      <c r="H8" s="9">
        <f>SUMIF($C$6:$C$111,"Instruction: Professional Services", $D$6:$D$111)</f>
        <v>0</v>
      </c>
    </row>
    <row r="9" spans="1:12" ht="14.4" customHeight="1" x14ac:dyDescent="0.3">
      <c r="A9" s="4"/>
      <c r="B9" s="133"/>
      <c r="C9" s="4"/>
      <c r="D9" s="5"/>
      <c r="G9" s="10" t="s">
        <v>36</v>
      </c>
      <c r="H9" s="9">
        <f>SUMIF($C$6:$C$111,"Instruction: Rentals", $D$6:$D$111)</f>
        <v>0</v>
      </c>
    </row>
    <row r="10" spans="1:12" ht="14.4" customHeight="1" x14ac:dyDescent="0.3">
      <c r="A10" s="4"/>
      <c r="B10" s="133"/>
      <c r="C10" s="4"/>
      <c r="D10" s="5"/>
      <c r="G10" s="10" t="s">
        <v>37</v>
      </c>
      <c r="H10" s="9">
        <f>SUMIF($C$6:$C$111,"Instruction: Other Purchased Services", $D$6:$D$111)</f>
        <v>0</v>
      </c>
    </row>
    <row r="11" spans="1:12" ht="14.4" customHeight="1" x14ac:dyDescent="0.3">
      <c r="A11" s="4"/>
      <c r="B11" s="133"/>
      <c r="C11" s="4"/>
      <c r="D11" s="5"/>
      <c r="G11" s="10" t="s">
        <v>38</v>
      </c>
      <c r="H11" s="9">
        <f>SUMIF($C$6:$C$111,"Instruction: General Supplies", $D$6:$D$111)</f>
        <v>0</v>
      </c>
    </row>
    <row r="12" spans="1:12" ht="14.4" customHeight="1" x14ac:dyDescent="0.3">
      <c r="A12" s="4"/>
      <c r="B12" s="133"/>
      <c r="C12" s="4"/>
      <c r="D12" s="5"/>
      <c r="G12" s="10" t="s">
        <v>39</v>
      </c>
      <c r="H12" s="9">
        <f>SUMIF($C$6:$C$111,"Instruction: Property", $D$6:$D$111)</f>
        <v>0</v>
      </c>
    </row>
    <row r="13" spans="1:12" ht="14.4" customHeight="1" x14ac:dyDescent="0.3">
      <c r="A13" s="4"/>
      <c r="B13" s="133"/>
      <c r="C13" s="4"/>
      <c r="D13" s="5"/>
      <c r="G13" s="10"/>
      <c r="H13" s="9"/>
    </row>
    <row r="14" spans="1:12" ht="14.4" customHeight="1" x14ac:dyDescent="0.3">
      <c r="A14" s="4"/>
      <c r="B14" s="133"/>
      <c r="C14" s="4"/>
      <c r="D14" s="5"/>
      <c r="G14" s="8" t="s">
        <v>83</v>
      </c>
      <c r="H14" s="9">
        <f>SUMIF($C$6:$C$111,"Support Services (Student): Salary (Cert./Non Cert.)", $D$6:$D$111)</f>
        <v>0</v>
      </c>
    </row>
    <row r="15" spans="1:12" ht="14.4" customHeight="1" x14ac:dyDescent="0.3">
      <c r="A15" s="4"/>
      <c r="B15" s="133"/>
      <c r="C15" s="4"/>
      <c r="D15" s="5"/>
      <c r="G15" s="8" t="s">
        <v>84</v>
      </c>
      <c r="H15" s="9">
        <f>SUMIF($C$6:$C$111,"Support Services (Student): Benefits (Cert./Non Cert.)", $D$6:$D$111)</f>
        <v>0</v>
      </c>
    </row>
    <row r="16" spans="1:12" ht="14.4" customHeight="1" x14ac:dyDescent="0.3">
      <c r="A16" s="4"/>
      <c r="B16" s="133"/>
      <c r="C16" s="4"/>
      <c r="D16" s="5"/>
      <c r="G16" s="10" t="s">
        <v>40</v>
      </c>
      <c r="H16" s="9">
        <f>SUMIF($C$6:$C$111,"Support Services (Student): Professional Services", $D$6:$D$111)</f>
        <v>0</v>
      </c>
    </row>
    <row r="17" spans="1:8" ht="14.4" customHeight="1" x14ac:dyDescent="0.3">
      <c r="A17" s="4"/>
      <c r="B17" s="133"/>
      <c r="C17" s="4"/>
      <c r="D17" s="5"/>
      <c r="G17" s="10" t="s">
        <v>41</v>
      </c>
      <c r="H17" s="9">
        <f>SUMIF($C$6:$C$111,"Support Services (Student): Rentals", $D$6:$D$111)</f>
        <v>0</v>
      </c>
    </row>
    <row r="18" spans="1:8" ht="14.4" customHeight="1" x14ac:dyDescent="0.3">
      <c r="A18" s="4"/>
      <c r="B18" s="133"/>
      <c r="C18" s="4"/>
      <c r="D18" s="5"/>
      <c r="G18" s="10" t="s">
        <v>42</v>
      </c>
      <c r="H18" s="9">
        <f>SUMIF($C$6:$C$111,"Support Services (Student): Other Purchased Services", $D$6:$D$111)</f>
        <v>0</v>
      </c>
    </row>
    <row r="19" spans="1:8" ht="14.4" customHeight="1" x14ac:dyDescent="0.3">
      <c r="A19" s="4"/>
      <c r="B19" s="133"/>
      <c r="C19" s="4"/>
      <c r="D19" s="5"/>
      <c r="G19" s="10" t="s">
        <v>43</v>
      </c>
      <c r="H19" s="9">
        <f>SUMIF($C$6:$C$111,"Support Services (Student): General Supplies", $D$6:$D$111)</f>
        <v>0</v>
      </c>
    </row>
    <row r="20" spans="1:8" ht="14.4" customHeight="1" x14ac:dyDescent="0.3">
      <c r="A20" s="4"/>
      <c r="B20" s="133"/>
      <c r="C20" s="4"/>
      <c r="D20" s="5"/>
      <c r="G20" s="10" t="s">
        <v>44</v>
      </c>
      <c r="H20" s="9">
        <f>SUMIF($C$6:$C$111,"Support Services (Student): Property", $D$6:$D$111)</f>
        <v>0</v>
      </c>
    </row>
    <row r="21" spans="1:8" ht="14.4" customHeight="1" x14ac:dyDescent="0.3">
      <c r="A21" s="4"/>
      <c r="B21" s="133"/>
      <c r="C21" s="4"/>
      <c r="D21" s="5"/>
      <c r="G21" s="10"/>
      <c r="H21" s="9"/>
    </row>
    <row r="22" spans="1:8" ht="14.4" customHeight="1" x14ac:dyDescent="0.3">
      <c r="A22" s="4"/>
      <c r="B22" s="133"/>
      <c r="C22" s="4"/>
      <c r="D22" s="5"/>
      <c r="G22" s="8" t="s">
        <v>85</v>
      </c>
      <c r="H22" s="9">
        <f>SUMIF($C$6:$C$111,"Improvement of Instruction: Salary (Cert./Non Cert.)", $D$6:$D$111)</f>
        <v>0</v>
      </c>
    </row>
    <row r="23" spans="1:8" ht="14.4" customHeight="1" x14ac:dyDescent="0.3">
      <c r="A23" s="4"/>
      <c r="B23" s="133"/>
      <c r="C23" s="4"/>
      <c r="D23" s="5"/>
      <c r="G23" s="8" t="s">
        <v>86</v>
      </c>
      <c r="H23" s="9">
        <f>SUMIF($C$6:$C$111,"Improvement of Instruction: Benefits (Cert./Non Cert.)", $D$6:$D$111)</f>
        <v>0</v>
      </c>
    </row>
    <row r="24" spans="1:8" ht="14.4" customHeight="1" x14ac:dyDescent="0.3">
      <c r="A24" s="4"/>
      <c r="B24" s="133"/>
      <c r="C24" s="4"/>
      <c r="D24" s="5"/>
      <c r="G24" s="10" t="s">
        <v>45</v>
      </c>
      <c r="H24" s="9">
        <f>SUMIF($C$6:$C$111,"Improvement of Instruction: Professional Services", $D$6:$D$111)</f>
        <v>0</v>
      </c>
    </row>
    <row r="25" spans="1:8" ht="14.4" customHeight="1" x14ac:dyDescent="0.3">
      <c r="A25" s="4"/>
      <c r="B25" s="133"/>
      <c r="C25" s="4"/>
      <c r="D25" s="5"/>
      <c r="G25" s="10" t="s">
        <v>46</v>
      </c>
      <c r="H25" s="9">
        <f>SUMIF($C$6:$C$111,"Improvement of Instruction: Rentals", $D$6:$D$111)</f>
        <v>0</v>
      </c>
    </row>
    <row r="26" spans="1:8" ht="14.4" customHeight="1" x14ac:dyDescent="0.3">
      <c r="A26" s="4"/>
      <c r="B26" s="133"/>
      <c r="C26" s="4"/>
      <c r="D26" s="5"/>
      <c r="G26" s="10" t="s">
        <v>47</v>
      </c>
      <c r="H26" s="9">
        <f>SUMIF($C$6:$C$111,"Improvement of Instruction: Other Purchased Services", $D$6:$D$111)</f>
        <v>0</v>
      </c>
    </row>
    <row r="27" spans="1:8" ht="14.4" customHeight="1" x14ac:dyDescent="0.3">
      <c r="A27" s="4"/>
      <c r="B27" s="133"/>
      <c r="C27" s="4"/>
      <c r="D27" s="5"/>
      <c r="G27" s="10" t="s">
        <v>48</v>
      </c>
      <c r="H27" s="9">
        <f>SUMIF($C$6:$C$111,"Improvement of Instruction: General Supplies", $D$6:$D$111)</f>
        <v>0</v>
      </c>
    </row>
    <row r="28" spans="1:8" ht="14.4" customHeight="1" x14ac:dyDescent="0.3">
      <c r="A28" s="4"/>
      <c r="B28" s="133"/>
      <c r="C28" s="4"/>
      <c r="D28" s="5"/>
      <c r="G28" s="10" t="s">
        <v>49</v>
      </c>
      <c r="H28" s="9">
        <f>SUMIF($C$6:$C$111,"Improvement of Instruction: Property", $D$6:$D$111)</f>
        <v>0</v>
      </c>
    </row>
    <row r="29" spans="1:8" ht="14.4" customHeight="1" x14ac:dyDescent="0.3">
      <c r="A29" s="4"/>
      <c r="B29" s="133"/>
      <c r="C29" s="4"/>
      <c r="D29" s="5"/>
      <c r="G29" s="10"/>
      <c r="H29" s="9"/>
    </row>
    <row r="30" spans="1:8" ht="14.4" customHeight="1" x14ac:dyDescent="0.3">
      <c r="A30" s="4"/>
      <c r="B30" s="133"/>
      <c r="C30" s="4"/>
      <c r="D30" s="5"/>
      <c r="G30" s="8" t="s">
        <v>402</v>
      </c>
      <c r="H30" s="9">
        <f>SUMIF($C$6:$C$111,"Other Support Services-Admin: Salary (Cert./Non Cert.)", $D$6:$D$111)</f>
        <v>0</v>
      </c>
    </row>
    <row r="31" spans="1:8" ht="14.4" customHeight="1" x14ac:dyDescent="0.3">
      <c r="A31" s="4"/>
      <c r="B31" s="133"/>
      <c r="C31" s="4"/>
      <c r="D31" s="5"/>
      <c r="G31" s="8" t="s">
        <v>403</v>
      </c>
      <c r="H31" s="9">
        <f>SUMIF($C$6:$C$111,"Other Support Services-Admin: Benefits (Cert./Non Cert.)", $D$6:$D$111)</f>
        <v>0</v>
      </c>
    </row>
    <row r="32" spans="1:8" ht="14.4" customHeight="1" x14ac:dyDescent="0.3">
      <c r="A32" s="4"/>
      <c r="B32" s="133"/>
      <c r="C32" s="4"/>
      <c r="D32" s="5"/>
      <c r="G32" s="10" t="s">
        <v>404</v>
      </c>
      <c r="H32" s="9">
        <f>SUMIF($C$6:$C$111,"Other Support Services-Admin: Professional Services", $D$6:$D$111)</f>
        <v>0</v>
      </c>
    </row>
    <row r="33" spans="1:8" ht="14.4" customHeight="1" x14ac:dyDescent="0.3">
      <c r="A33" s="4"/>
      <c r="B33" s="133"/>
      <c r="C33" s="4"/>
      <c r="D33" s="5"/>
      <c r="G33" s="10" t="s">
        <v>405</v>
      </c>
      <c r="H33" s="9">
        <f>SUMIF($C$6:$C$111,"Other Support Services-Admin: Rentals", $D$6:$D$111)</f>
        <v>0</v>
      </c>
    </row>
    <row r="34" spans="1:8" ht="14.4" customHeight="1" x14ac:dyDescent="0.3">
      <c r="A34" s="4"/>
      <c r="B34" s="133"/>
      <c r="C34" s="4"/>
      <c r="D34" s="5"/>
      <c r="G34" s="10" t="s">
        <v>406</v>
      </c>
      <c r="H34" s="9">
        <f>SUMIF($C$6:$C$111,"Other Support Services-Admin: Other Purchased Services", $D$6:$D$111)</f>
        <v>0</v>
      </c>
    </row>
    <row r="35" spans="1:8" ht="14.4" customHeight="1" x14ac:dyDescent="0.3">
      <c r="A35" s="4"/>
      <c r="B35" s="133"/>
      <c r="C35" s="4"/>
      <c r="D35" s="5"/>
      <c r="G35" s="10" t="s">
        <v>407</v>
      </c>
      <c r="H35" s="9">
        <f>SUMIF($C$6:$C$111,"Other Support Services-Admin: General Supplies", $D$6:$D$111)</f>
        <v>0</v>
      </c>
    </row>
    <row r="36" spans="1:8" ht="14.4" customHeight="1" x14ac:dyDescent="0.3">
      <c r="A36" s="4"/>
      <c r="B36" s="133"/>
      <c r="C36" s="4"/>
      <c r="D36" s="5"/>
      <c r="G36" s="10" t="s">
        <v>408</v>
      </c>
      <c r="H36" s="9">
        <f>SUMIF($C$6:$C$111,"Other Support Services-Admin: Property", $D$6:$D$111)</f>
        <v>0</v>
      </c>
    </row>
    <row r="37" spans="1:8" ht="14.4" customHeight="1" x14ac:dyDescent="0.3">
      <c r="A37" s="4"/>
      <c r="B37" s="133"/>
      <c r="C37" s="4"/>
      <c r="D37" s="5"/>
      <c r="G37" s="10"/>
      <c r="H37" s="9"/>
    </row>
    <row r="38" spans="1:8" ht="14.4" customHeight="1" x14ac:dyDescent="0.3">
      <c r="A38" s="4"/>
      <c r="B38" s="133"/>
      <c r="C38" s="4"/>
      <c r="D38" s="5"/>
      <c r="G38" s="8" t="s">
        <v>87</v>
      </c>
      <c r="H38" s="9">
        <f>SUMIF($C$6:$C$111,"Operations and Maintenance: Salary (Cert./Non Cert.)", $D$6:$D$111)</f>
        <v>0</v>
      </c>
    </row>
    <row r="39" spans="1:8" ht="14.4" customHeight="1" x14ac:dyDescent="0.3">
      <c r="A39" s="4"/>
      <c r="B39" s="133"/>
      <c r="C39" s="4"/>
      <c r="D39" s="5"/>
      <c r="G39" s="8" t="s">
        <v>88</v>
      </c>
      <c r="H39" s="9">
        <f>SUMIF($C$6:$C$111,"Operations and Maintenance: Benefits (Cert./Non Cert.)", $D$6:$D$111)</f>
        <v>0</v>
      </c>
    </row>
    <row r="40" spans="1:8" ht="14.4" customHeight="1" x14ac:dyDescent="0.3">
      <c r="A40" s="4"/>
      <c r="B40" s="133"/>
      <c r="C40" s="4"/>
      <c r="D40" s="5"/>
      <c r="G40" s="10" t="s">
        <v>50</v>
      </c>
      <c r="H40" s="9">
        <f>SUMIF($C$6:$C$111,"Operations and Maintenance: Professional Services", $D$6:$D$111)</f>
        <v>0</v>
      </c>
    </row>
    <row r="41" spans="1:8" ht="14.4" customHeight="1" x14ac:dyDescent="0.3">
      <c r="A41" s="4"/>
      <c r="B41" s="133"/>
      <c r="C41" s="4"/>
      <c r="D41" s="5"/>
      <c r="G41" s="10" t="s">
        <v>51</v>
      </c>
      <c r="H41" s="9">
        <f>SUMIF($C$6:$C$111,"Operations and Maintenance: Rentals", $D$6:$D$111)</f>
        <v>0</v>
      </c>
    </row>
    <row r="42" spans="1:8" ht="14.4" customHeight="1" x14ac:dyDescent="0.3">
      <c r="A42" s="4"/>
      <c r="B42" s="133"/>
      <c r="C42" s="4"/>
      <c r="D42" s="5"/>
      <c r="G42" s="10" t="s">
        <v>52</v>
      </c>
      <c r="H42" s="9">
        <f>SUMIF($C$6:$C$111,"Operations and Maintenance: Other Purchased Services", $D$6:$D$111)</f>
        <v>0</v>
      </c>
    </row>
    <row r="43" spans="1:8" ht="14.4" customHeight="1" x14ac:dyDescent="0.3">
      <c r="A43" s="4"/>
      <c r="B43" s="133"/>
      <c r="C43" s="4"/>
      <c r="D43" s="5"/>
      <c r="G43" s="10" t="s">
        <v>53</v>
      </c>
      <c r="H43" s="9">
        <f>SUMIF($C$6:$C$111,"Operations and Maintenance: General Supplies", $D$6:$D$111)</f>
        <v>0</v>
      </c>
    </row>
    <row r="44" spans="1:8" ht="14.4" customHeight="1" x14ac:dyDescent="0.3">
      <c r="A44" s="4"/>
      <c r="B44" s="133"/>
      <c r="C44" s="4"/>
      <c r="D44" s="5"/>
      <c r="G44" s="10" t="s">
        <v>54</v>
      </c>
      <c r="H44" s="9">
        <f>SUMIF($C$6:$C$111,"Operations and Maintenance: Property", $D$6:$D$111)</f>
        <v>0</v>
      </c>
    </row>
    <row r="45" spans="1:8" ht="14.4" customHeight="1" x14ac:dyDescent="0.3">
      <c r="A45" s="4"/>
      <c r="B45" s="133"/>
      <c r="C45" s="4"/>
      <c r="D45" s="5"/>
      <c r="G45" s="10"/>
      <c r="H45" s="9"/>
    </row>
    <row r="46" spans="1:8" ht="14.4" customHeight="1" x14ac:dyDescent="0.3">
      <c r="A46" s="4"/>
      <c r="B46" s="133"/>
      <c r="C46" s="4"/>
      <c r="D46" s="5"/>
      <c r="G46" s="8" t="s">
        <v>89</v>
      </c>
      <c r="H46" s="9">
        <f>SUMIF($C$6:$C$111,"Transportation: Salary (Cert./Non Cert.)", $D$6:$D$111)</f>
        <v>0</v>
      </c>
    </row>
    <row r="47" spans="1:8" ht="14.4" customHeight="1" x14ac:dyDescent="0.3">
      <c r="A47" s="4"/>
      <c r="B47" s="133"/>
      <c r="C47" s="4"/>
      <c r="D47" s="5"/>
      <c r="G47" s="8" t="s">
        <v>90</v>
      </c>
      <c r="H47" s="9">
        <f>SUMIF($C$6:$C$111,"Transportation: Benefits (Cert./Non Cert.)", $D$6:$D$111)</f>
        <v>0</v>
      </c>
    </row>
    <row r="48" spans="1:8" x14ac:dyDescent="0.3">
      <c r="A48" s="4"/>
      <c r="B48" s="133"/>
      <c r="C48" s="4"/>
      <c r="D48" s="5"/>
      <c r="G48" s="10" t="s">
        <v>55</v>
      </c>
      <c r="H48" s="9">
        <f>SUMIF($C$6:$C$111,"Transportation: Professional Services", $D$6:$D$111)</f>
        <v>0</v>
      </c>
    </row>
    <row r="49" spans="1:9" x14ac:dyDescent="0.3">
      <c r="A49" s="4"/>
      <c r="B49" s="133"/>
      <c r="C49" s="4"/>
      <c r="D49" s="5"/>
      <c r="G49" s="10" t="s">
        <v>56</v>
      </c>
      <c r="H49" s="9">
        <f>SUMIF($C$6:$C$111,"Transportation: Rentals", $D$6:$D$111)</f>
        <v>0</v>
      </c>
    </row>
    <row r="50" spans="1:9" x14ac:dyDescent="0.3">
      <c r="A50" s="4"/>
      <c r="B50" s="133"/>
      <c r="C50" s="4"/>
      <c r="D50" s="5"/>
      <c r="G50" s="10" t="s">
        <v>57</v>
      </c>
      <c r="H50" s="9">
        <f>SUMIF($C$6:$C$111,"Transportation: Other Purchased Services", $D$6:$D$111)</f>
        <v>0</v>
      </c>
    </row>
    <row r="51" spans="1:9" x14ac:dyDescent="0.3">
      <c r="A51" s="4"/>
      <c r="B51" s="133"/>
      <c r="C51" s="4"/>
      <c r="D51" s="5"/>
      <c r="G51" s="10" t="s">
        <v>58</v>
      </c>
      <c r="H51" s="9">
        <f>SUMIF($C$6:$C$111,"Transportation: General Supplies", $D$6:$D$111)</f>
        <v>0</v>
      </c>
    </row>
    <row r="52" spans="1:9" x14ac:dyDescent="0.3">
      <c r="A52" s="4"/>
      <c r="B52" s="133"/>
      <c r="C52" s="4"/>
      <c r="D52" s="5"/>
      <c r="G52" s="10" t="s">
        <v>59</v>
      </c>
      <c r="H52" s="9">
        <f>SUMIF($C$6:$C$111,"Transportation: Property", $D$6:$D$111)</f>
        <v>0</v>
      </c>
    </row>
    <row r="53" spans="1:9" x14ac:dyDescent="0.3">
      <c r="A53" s="4"/>
      <c r="B53" s="133"/>
      <c r="C53" s="4"/>
      <c r="D53" s="5"/>
      <c r="G53" s="10"/>
      <c r="H53" s="9"/>
    </row>
    <row r="54" spans="1:9" x14ac:dyDescent="0.3">
      <c r="A54" s="4"/>
      <c r="B54" s="133"/>
      <c r="C54" s="4"/>
      <c r="D54" s="5"/>
      <c r="G54" s="8" t="s">
        <v>91</v>
      </c>
      <c r="H54" s="9">
        <f>SUMIF($C$6:$C$111,"Community Services Operations: Salary (Cert./Non Cert.)", $D$6:$D$111)</f>
        <v>0</v>
      </c>
    </row>
    <row r="55" spans="1:9" x14ac:dyDescent="0.3">
      <c r="A55" s="4"/>
      <c r="B55" s="133"/>
      <c r="C55" s="4"/>
      <c r="D55" s="5"/>
      <c r="G55" s="8" t="s">
        <v>92</v>
      </c>
      <c r="H55" s="9">
        <f>SUMIF($C$6:$C$111,"Community Services Operations: Benefits (Cert./Non Cert.)", $D$6:$D$111)</f>
        <v>0</v>
      </c>
    </row>
    <row r="56" spans="1:9" x14ac:dyDescent="0.3">
      <c r="A56" s="4"/>
      <c r="B56" s="133"/>
      <c r="C56" s="4"/>
      <c r="D56" s="5"/>
      <c r="G56" s="10" t="s">
        <v>60</v>
      </c>
      <c r="H56" s="9">
        <f>SUMIF($C$6:$C$111,"Community Services Operations: Professional Services", $D$6:$D$111)</f>
        <v>0</v>
      </c>
    </row>
    <row r="57" spans="1:9" x14ac:dyDescent="0.3">
      <c r="A57" s="4"/>
      <c r="B57" s="133"/>
      <c r="C57" s="4"/>
      <c r="D57" s="5"/>
      <c r="G57" s="10" t="s">
        <v>61</v>
      </c>
      <c r="H57" s="9">
        <f>SUMIF($C$6:$C$111,"Community Services Operations: Rentals", $D$6:$D$111)</f>
        <v>0</v>
      </c>
    </row>
    <row r="58" spans="1:9" x14ac:dyDescent="0.3">
      <c r="A58" s="4"/>
      <c r="B58" s="133"/>
      <c r="C58" s="4"/>
      <c r="D58" s="5"/>
      <c r="G58" s="10" t="s">
        <v>62</v>
      </c>
      <c r="H58" s="9">
        <f>SUMIF($C$6:$C$111,"Community Services Operations: Other Purchased Services", $D$6:$D$111)</f>
        <v>0</v>
      </c>
    </row>
    <row r="59" spans="1:9" x14ac:dyDescent="0.3">
      <c r="A59" s="4"/>
      <c r="B59" s="133"/>
      <c r="C59" s="4"/>
      <c r="D59" s="5"/>
      <c r="G59" s="10" t="s">
        <v>63</v>
      </c>
      <c r="H59" s="9">
        <f>SUMIF($C$6:$C$111,"Community Services Operations: General Supplies", $D$6:$D$111)</f>
        <v>0</v>
      </c>
    </row>
    <row r="60" spans="1:9" x14ac:dyDescent="0.3">
      <c r="A60" s="4"/>
      <c r="B60" s="133"/>
      <c r="C60" s="4"/>
      <c r="D60" s="5"/>
      <c r="G60" s="10" t="s">
        <v>64</v>
      </c>
      <c r="H60" s="9">
        <f>SUMIF($C$6:$C$111,"Community Services Operations: Property", $D$6:$D$111)</f>
        <v>0</v>
      </c>
    </row>
    <row r="61" spans="1:9" x14ac:dyDescent="0.3">
      <c r="A61" s="4"/>
      <c r="B61" s="133"/>
      <c r="C61" s="4"/>
      <c r="D61" s="5"/>
      <c r="G61" s="10"/>
      <c r="H61" s="9"/>
    </row>
    <row r="62" spans="1:9" x14ac:dyDescent="0.3">
      <c r="A62" s="4"/>
      <c r="B62" s="133"/>
      <c r="C62" s="4"/>
      <c r="D62" s="5"/>
      <c r="G62" s="11" t="s">
        <v>65</v>
      </c>
      <c r="H62" s="9">
        <f>SUMIF($C$6:$C$111,"Indirect Cost Used", $D$6:$D$111)</f>
        <v>0</v>
      </c>
    </row>
    <row r="63" spans="1:9" x14ac:dyDescent="0.3">
      <c r="A63" s="4"/>
      <c r="B63" s="133"/>
      <c r="C63" s="4"/>
      <c r="D63" s="5"/>
      <c r="G63" s="186"/>
      <c r="H63" s="185"/>
    </row>
    <row r="64" spans="1:9" ht="14.4" customHeight="1" x14ac:dyDescent="0.3">
      <c r="A64" s="4"/>
      <c r="B64" s="133"/>
      <c r="C64" s="4"/>
      <c r="D64" s="5"/>
      <c r="G64" s="165" t="s">
        <v>69</v>
      </c>
      <c r="H64" s="54">
        <f>SUM(H6:H62)</f>
        <v>0</v>
      </c>
      <c r="I64" s="181">
        <f>SUM(H30:H37)+H62</f>
        <v>0</v>
      </c>
    </row>
    <row r="65" spans="1:8" x14ac:dyDescent="0.3">
      <c r="A65" s="4"/>
      <c r="B65" s="133"/>
      <c r="C65" s="4"/>
      <c r="D65" s="5"/>
    </row>
    <row r="66" spans="1:8" x14ac:dyDescent="0.3">
      <c r="A66" s="4"/>
      <c r="B66" s="133"/>
      <c r="C66" s="4"/>
      <c r="D66" s="5"/>
      <c r="G66" s="72" t="s">
        <v>1968</v>
      </c>
      <c r="H66" s="72" t="s">
        <v>1969</v>
      </c>
    </row>
    <row r="67" spans="1:8" x14ac:dyDescent="0.3">
      <c r="A67" s="4"/>
      <c r="B67" s="133"/>
      <c r="C67" s="4"/>
      <c r="D67" s="5"/>
      <c r="G67" s="73" t="str">
        <f>'Equitable Share'!D12</f>
        <v xml:space="preserve"> </v>
      </c>
      <c r="H67" s="14">
        <f>SUMIF($A$6:$A$111,G67,$D$6:$D$111)</f>
        <v>0</v>
      </c>
    </row>
    <row r="68" spans="1:8" x14ac:dyDescent="0.3">
      <c r="A68" s="4"/>
      <c r="B68" s="133"/>
      <c r="C68" s="4"/>
      <c r="D68" s="5"/>
      <c r="G68" s="73" t="str">
        <f>'Equitable Share'!D13</f>
        <v xml:space="preserve"> </v>
      </c>
      <c r="H68" s="14">
        <f t="shared" ref="H68:H96" si="0">SUMIF($A$6:$A$111,G68,$D$6:$D$111)</f>
        <v>0</v>
      </c>
    </row>
    <row r="69" spans="1:8" x14ac:dyDescent="0.3">
      <c r="A69" s="4"/>
      <c r="B69" s="133"/>
      <c r="C69" s="4"/>
      <c r="D69" s="5"/>
      <c r="G69" s="73" t="str">
        <f>'Equitable Share'!D14</f>
        <v xml:space="preserve"> </v>
      </c>
      <c r="H69" s="14">
        <f t="shared" si="0"/>
        <v>0</v>
      </c>
    </row>
    <row r="70" spans="1:8" x14ac:dyDescent="0.3">
      <c r="A70" s="4"/>
      <c r="B70" s="133"/>
      <c r="C70" s="4"/>
      <c r="D70" s="5"/>
      <c r="G70" s="73" t="str">
        <f>'Equitable Share'!D15</f>
        <v xml:space="preserve"> </v>
      </c>
      <c r="H70" s="14">
        <f t="shared" si="0"/>
        <v>0</v>
      </c>
    </row>
    <row r="71" spans="1:8" x14ac:dyDescent="0.3">
      <c r="A71" s="4"/>
      <c r="B71" s="133"/>
      <c r="C71" s="4"/>
      <c r="D71" s="5"/>
      <c r="G71" s="73" t="str">
        <f>'Equitable Share'!D16</f>
        <v xml:space="preserve"> </v>
      </c>
      <c r="H71" s="14">
        <f t="shared" si="0"/>
        <v>0</v>
      </c>
    </row>
    <row r="72" spans="1:8" x14ac:dyDescent="0.3">
      <c r="A72" s="4"/>
      <c r="B72" s="133"/>
      <c r="C72" s="4"/>
      <c r="D72" s="5"/>
      <c r="G72" s="73" t="str">
        <f>'Equitable Share'!D17</f>
        <v xml:space="preserve"> </v>
      </c>
      <c r="H72" s="14">
        <f t="shared" si="0"/>
        <v>0</v>
      </c>
    </row>
    <row r="73" spans="1:8" x14ac:dyDescent="0.3">
      <c r="A73" s="4"/>
      <c r="B73" s="133"/>
      <c r="C73" s="4"/>
      <c r="D73" s="5"/>
      <c r="G73" s="73" t="str">
        <f>'Equitable Share'!D18</f>
        <v xml:space="preserve"> </v>
      </c>
      <c r="H73" s="14">
        <f t="shared" si="0"/>
        <v>0</v>
      </c>
    </row>
    <row r="74" spans="1:8" x14ac:dyDescent="0.3">
      <c r="A74" s="4"/>
      <c r="B74" s="133"/>
      <c r="C74" s="4"/>
      <c r="D74" s="5"/>
      <c r="G74" s="73" t="str">
        <f>'Equitable Share'!D19</f>
        <v xml:space="preserve"> </v>
      </c>
      <c r="H74" s="14">
        <f t="shared" si="0"/>
        <v>0</v>
      </c>
    </row>
    <row r="75" spans="1:8" x14ac:dyDescent="0.3">
      <c r="A75" s="4"/>
      <c r="B75" s="133"/>
      <c r="C75" s="4"/>
      <c r="D75" s="5"/>
      <c r="G75" s="73" t="str">
        <f>'Equitable Share'!D20</f>
        <v xml:space="preserve"> </v>
      </c>
      <c r="H75" s="14">
        <f t="shared" si="0"/>
        <v>0</v>
      </c>
    </row>
    <row r="76" spans="1:8" x14ac:dyDescent="0.3">
      <c r="A76" s="4"/>
      <c r="B76" s="133"/>
      <c r="C76" s="4"/>
      <c r="D76" s="5"/>
      <c r="G76" s="73" t="str">
        <f>'Equitable Share'!D21</f>
        <v xml:space="preserve"> </v>
      </c>
      <c r="H76" s="14">
        <f t="shared" si="0"/>
        <v>0</v>
      </c>
    </row>
    <row r="77" spans="1:8" x14ac:dyDescent="0.3">
      <c r="A77" s="4"/>
      <c r="B77" s="133"/>
      <c r="C77" s="4"/>
      <c r="D77" s="5"/>
      <c r="G77" s="73" t="str">
        <f>'Equitable Share'!D22</f>
        <v xml:space="preserve"> </v>
      </c>
      <c r="H77" s="14">
        <f t="shared" si="0"/>
        <v>0</v>
      </c>
    </row>
    <row r="78" spans="1:8" x14ac:dyDescent="0.3">
      <c r="A78" s="4"/>
      <c r="B78" s="133"/>
      <c r="C78" s="4"/>
      <c r="D78" s="5"/>
      <c r="G78" s="73" t="str">
        <f>'Equitable Share'!D23</f>
        <v xml:space="preserve"> </v>
      </c>
      <c r="H78" s="14">
        <f t="shared" si="0"/>
        <v>0</v>
      </c>
    </row>
    <row r="79" spans="1:8" x14ac:dyDescent="0.3">
      <c r="A79" s="4"/>
      <c r="B79" s="133"/>
      <c r="C79" s="4"/>
      <c r="D79" s="5"/>
      <c r="G79" s="73" t="str">
        <f>'Equitable Share'!D24</f>
        <v xml:space="preserve"> </v>
      </c>
      <c r="H79" s="14">
        <f t="shared" si="0"/>
        <v>0</v>
      </c>
    </row>
    <row r="80" spans="1:8" x14ac:dyDescent="0.3">
      <c r="A80" s="4"/>
      <c r="B80" s="133"/>
      <c r="C80" s="4"/>
      <c r="D80" s="5"/>
      <c r="G80" s="73" t="str">
        <f>'Equitable Share'!D39</f>
        <v xml:space="preserve"> </v>
      </c>
      <c r="H80" s="14">
        <f t="shared" si="0"/>
        <v>0</v>
      </c>
    </row>
    <row r="81" spans="1:8" x14ac:dyDescent="0.3">
      <c r="A81" s="4"/>
      <c r="B81" s="133"/>
      <c r="C81" s="4"/>
      <c r="D81" s="5"/>
      <c r="G81" s="73" t="str">
        <f>'Equitable Share'!D40</f>
        <v xml:space="preserve"> </v>
      </c>
      <c r="H81" s="14">
        <f t="shared" si="0"/>
        <v>0</v>
      </c>
    </row>
    <row r="82" spans="1:8" x14ac:dyDescent="0.3">
      <c r="A82" s="4"/>
      <c r="B82" s="133"/>
      <c r="C82" s="4"/>
      <c r="D82" s="5"/>
      <c r="G82" s="73" t="str">
        <f>'Equitable Share'!D41</f>
        <v xml:space="preserve"> </v>
      </c>
      <c r="H82" s="14">
        <f t="shared" si="0"/>
        <v>0</v>
      </c>
    </row>
    <row r="83" spans="1:8" x14ac:dyDescent="0.3">
      <c r="A83" s="4"/>
      <c r="B83" s="133"/>
      <c r="C83" s="4"/>
      <c r="D83" s="5"/>
      <c r="G83" s="73" t="str">
        <f>'Equitable Share'!D42</f>
        <v xml:space="preserve"> </v>
      </c>
      <c r="H83" s="14">
        <f t="shared" si="0"/>
        <v>0</v>
      </c>
    </row>
    <row r="84" spans="1:8" x14ac:dyDescent="0.3">
      <c r="A84" s="4"/>
      <c r="B84" s="133"/>
      <c r="C84" s="4"/>
      <c r="D84" s="5"/>
      <c r="G84" s="73" t="str">
        <f>'Equitable Share'!D43</f>
        <v xml:space="preserve"> </v>
      </c>
      <c r="H84" s="14">
        <f t="shared" si="0"/>
        <v>0</v>
      </c>
    </row>
    <row r="85" spans="1:8" x14ac:dyDescent="0.3">
      <c r="A85" s="4"/>
      <c r="B85" s="133"/>
      <c r="C85" s="4"/>
      <c r="D85" s="5"/>
      <c r="G85" s="73" t="str">
        <f>'Equitable Share'!D44</f>
        <v xml:space="preserve"> </v>
      </c>
      <c r="H85" s="14">
        <f t="shared" si="0"/>
        <v>0</v>
      </c>
    </row>
    <row r="86" spans="1:8" x14ac:dyDescent="0.3">
      <c r="A86" s="4"/>
      <c r="B86" s="133"/>
      <c r="C86" s="4"/>
      <c r="D86" s="5"/>
      <c r="G86" s="73" t="str">
        <f>'Equitable Share'!D45</f>
        <v xml:space="preserve"> </v>
      </c>
      <c r="H86" s="14">
        <f t="shared" si="0"/>
        <v>0</v>
      </c>
    </row>
    <row r="87" spans="1:8" x14ac:dyDescent="0.3">
      <c r="A87" s="4"/>
      <c r="B87" s="133"/>
      <c r="C87" s="4"/>
      <c r="D87" s="5"/>
      <c r="G87" s="73" t="str">
        <f>'Equitable Share'!D46</f>
        <v xml:space="preserve"> </v>
      </c>
      <c r="H87" s="14">
        <f t="shared" si="0"/>
        <v>0</v>
      </c>
    </row>
    <row r="88" spans="1:8" x14ac:dyDescent="0.3">
      <c r="A88" s="4"/>
      <c r="B88" s="133"/>
      <c r="C88" s="4"/>
      <c r="D88" s="5"/>
      <c r="G88" s="73" t="str">
        <f>'Equitable Share'!D47</f>
        <v xml:space="preserve"> </v>
      </c>
      <c r="H88" s="14">
        <f t="shared" si="0"/>
        <v>0</v>
      </c>
    </row>
    <row r="89" spans="1:8" x14ac:dyDescent="0.3">
      <c r="A89" s="4"/>
      <c r="B89" s="133"/>
      <c r="C89" s="4"/>
      <c r="D89" s="5"/>
      <c r="G89" s="73" t="str">
        <f>'Equitable Share'!D48</f>
        <v xml:space="preserve"> </v>
      </c>
      <c r="H89" s="14">
        <f t="shared" si="0"/>
        <v>0</v>
      </c>
    </row>
    <row r="90" spans="1:8" x14ac:dyDescent="0.3">
      <c r="A90" s="4"/>
      <c r="B90" s="133"/>
      <c r="C90" s="4"/>
      <c r="D90" s="5"/>
      <c r="G90" s="73" t="str">
        <f>'Equitable Share'!D49</f>
        <v xml:space="preserve"> </v>
      </c>
      <c r="H90" s="14">
        <f t="shared" si="0"/>
        <v>0</v>
      </c>
    </row>
    <row r="91" spans="1:8" x14ac:dyDescent="0.3">
      <c r="A91" s="4"/>
      <c r="B91" s="133"/>
      <c r="C91" s="4"/>
      <c r="D91" s="5"/>
      <c r="G91" s="73" t="str">
        <f>'Equitable Share'!D50</f>
        <v xml:space="preserve"> </v>
      </c>
      <c r="H91" s="14">
        <f t="shared" si="0"/>
        <v>0</v>
      </c>
    </row>
    <row r="92" spans="1:8" x14ac:dyDescent="0.3">
      <c r="A92" s="4"/>
      <c r="B92" s="133"/>
      <c r="C92" s="4"/>
      <c r="D92" s="5"/>
      <c r="G92" s="73" t="str">
        <f>'Equitable Share'!D51</f>
        <v xml:space="preserve"> </v>
      </c>
      <c r="H92" s="14">
        <f t="shared" si="0"/>
        <v>0</v>
      </c>
    </row>
    <row r="93" spans="1:8" x14ac:dyDescent="0.3">
      <c r="A93" s="4"/>
      <c r="B93" s="133"/>
      <c r="C93" s="4"/>
      <c r="D93" s="5"/>
      <c r="G93" s="73" t="str">
        <f>'Equitable Share'!D52</f>
        <v xml:space="preserve"> </v>
      </c>
      <c r="H93" s="14">
        <f t="shared" si="0"/>
        <v>0</v>
      </c>
    </row>
    <row r="94" spans="1:8" x14ac:dyDescent="0.3">
      <c r="A94" s="4"/>
      <c r="B94" s="133"/>
      <c r="C94" s="4"/>
      <c r="D94" s="5"/>
      <c r="G94" s="73" t="str">
        <f>'Equitable Share'!D53</f>
        <v xml:space="preserve"> </v>
      </c>
      <c r="H94" s="14">
        <f t="shared" si="0"/>
        <v>0</v>
      </c>
    </row>
    <row r="95" spans="1:8" x14ac:dyDescent="0.3">
      <c r="A95" s="4"/>
      <c r="B95" s="133"/>
      <c r="C95" s="4"/>
      <c r="D95" s="5"/>
      <c r="G95" s="73" t="str">
        <f>'Equitable Share'!D54</f>
        <v xml:space="preserve"> </v>
      </c>
      <c r="H95" s="14">
        <f t="shared" si="0"/>
        <v>0</v>
      </c>
    </row>
    <row r="96" spans="1:8" x14ac:dyDescent="0.3">
      <c r="A96" s="4"/>
      <c r="B96" s="133"/>
      <c r="C96" s="4"/>
      <c r="D96" s="5"/>
      <c r="G96" s="73" t="str">
        <f>'Equitable Share'!D55</f>
        <v xml:space="preserve"> </v>
      </c>
      <c r="H96" s="14">
        <f t="shared" si="0"/>
        <v>0</v>
      </c>
    </row>
    <row r="97" spans="1:4" x14ac:dyDescent="0.3">
      <c r="A97" s="4"/>
      <c r="B97" s="133"/>
      <c r="C97" s="4"/>
      <c r="D97" s="5"/>
    </row>
    <row r="98" spans="1:4" x14ac:dyDescent="0.3">
      <c r="A98" s="4"/>
      <c r="B98" s="133"/>
      <c r="C98" s="4"/>
      <c r="D98" s="5"/>
    </row>
    <row r="99" spans="1:4" x14ac:dyDescent="0.3">
      <c r="A99" s="4"/>
      <c r="B99" s="133"/>
      <c r="C99" s="4"/>
      <c r="D99" s="5"/>
    </row>
    <row r="100" spans="1:4" x14ac:dyDescent="0.3">
      <c r="A100" s="4"/>
      <c r="B100" s="133"/>
      <c r="C100" s="4"/>
      <c r="D100" s="5"/>
    </row>
    <row r="101" spans="1:4" x14ac:dyDescent="0.3">
      <c r="A101" s="4"/>
      <c r="B101" s="133"/>
      <c r="C101" s="4"/>
      <c r="D101" s="5"/>
    </row>
    <row r="102" spans="1:4" x14ac:dyDescent="0.3">
      <c r="A102" s="4"/>
      <c r="B102" s="133"/>
      <c r="C102" s="4"/>
      <c r="D102" s="5"/>
    </row>
    <row r="103" spans="1:4" x14ac:dyDescent="0.3">
      <c r="A103" s="4"/>
      <c r="B103" s="133"/>
      <c r="C103" s="4"/>
      <c r="D103" s="5"/>
    </row>
    <row r="104" spans="1:4" x14ac:dyDescent="0.3">
      <c r="A104" s="4"/>
      <c r="B104" s="133"/>
      <c r="C104" s="4"/>
      <c r="D104" s="5"/>
    </row>
    <row r="105" spans="1:4" x14ac:dyDescent="0.3">
      <c r="A105" s="4"/>
      <c r="B105" s="133"/>
      <c r="C105" s="4"/>
      <c r="D105" s="5"/>
    </row>
    <row r="106" spans="1:4" x14ac:dyDescent="0.3">
      <c r="A106" s="4"/>
      <c r="B106" s="133"/>
      <c r="C106" s="4"/>
      <c r="D106" s="5"/>
    </row>
    <row r="107" spans="1:4" x14ac:dyDescent="0.3">
      <c r="A107" s="4"/>
      <c r="B107" s="133"/>
      <c r="C107" s="4"/>
      <c r="D107" s="5"/>
    </row>
    <row r="108" spans="1:4" x14ac:dyDescent="0.3">
      <c r="A108" s="4"/>
      <c r="B108" s="133"/>
      <c r="C108" s="4"/>
      <c r="D108" s="5"/>
    </row>
    <row r="109" spans="1:4" x14ac:dyDescent="0.3">
      <c r="A109" s="4"/>
      <c r="B109" s="133"/>
      <c r="C109" s="4"/>
      <c r="D109" s="5"/>
    </row>
    <row r="110" spans="1:4" x14ac:dyDescent="0.3">
      <c r="A110" s="4"/>
      <c r="B110" s="133"/>
      <c r="C110" s="4"/>
      <c r="D110" s="5"/>
    </row>
    <row r="111" spans="1:4" x14ac:dyDescent="0.3">
      <c r="A111" s="4"/>
      <c r="B111" s="133"/>
      <c r="C111" s="4"/>
      <c r="D111" s="5"/>
    </row>
    <row r="112" spans="1:4" ht="14.4" customHeight="1" x14ac:dyDescent="0.3">
      <c r="A112" s="74"/>
      <c r="B112" s="74"/>
      <c r="C112" s="75" t="s">
        <v>1986</v>
      </c>
      <c r="D112" s="166">
        <f>SUM(D6:D111)</f>
        <v>0</v>
      </c>
    </row>
    <row r="113" spans="3:4" ht="14.4" customHeight="1" x14ac:dyDescent="0.3">
      <c r="C113" s="76" t="s">
        <v>1987</v>
      </c>
      <c r="D113" s="164" t="str">
        <f>'Amend#3 Overview'!G13</f>
        <v xml:space="preserve"> </v>
      </c>
    </row>
    <row r="114" spans="3:4" x14ac:dyDescent="0.3">
      <c r="C114" s="77" t="s">
        <v>400</v>
      </c>
      <c r="D114" s="54" t="str">
        <f>IFERROR(D113-D112,"")</f>
        <v/>
      </c>
    </row>
  </sheetData>
  <sheetProtection algorithmName="SHA-512" hashValue="uOS+NTsrVsiW36AGn/4vT5sbdMPMtIVbYZHHo+FKUnbOApmuQkaSrQunM321EiG2C5kWc5L+u3rhQSIJgSaWNw==" saltValue="LwIkUXk0wUU5gHCZ7o+p5Q==" spinCount="100000" sheet="1" objects="1" scenarios="1" selectLockedCells="1"/>
  <mergeCells count="2">
    <mergeCell ref="A1:H1"/>
    <mergeCell ref="A2:H3"/>
  </mergeCells>
  <conditionalFormatting sqref="D112">
    <cfRule type="cellIs" dxfId="83" priority="14" operator="lessThan">
      <formula>$D$113</formula>
    </cfRule>
    <cfRule type="cellIs" dxfId="82" priority="16" operator="equal">
      <formula>$D$113</formula>
    </cfRule>
    <cfRule type="cellIs" dxfId="81" priority="17" operator="greaterThan">
      <formula>$D$113</formula>
    </cfRule>
  </conditionalFormatting>
  <conditionalFormatting sqref="H67:H96">
    <cfRule type="expression" dxfId="80" priority="4" stopIfTrue="1">
      <formula>H67=0</formula>
    </cfRule>
  </conditionalFormatting>
  <conditionalFormatting sqref="G6:G62">
    <cfRule type="expression" dxfId="79" priority="2">
      <formula>MOD(ROW(),2)=0</formula>
    </cfRule>
  </conditionalFormatting>
  <conditionalFormatting sqref="H6:H63">
    <cfRule type="expression" dxfId="78" priority="3">
      <formula>MOD(ROW(),2)=0</formula>
    </cfRule>
  </conditionalFormatting>
  <conditionalFormatting sqref="G63">
    <cfRule type="expression" dxfId="77" priority="1">
      <formula>MOD(ROW(),2)=0</formula>
    </cfRule>
  </conditionalFormatting>
  <dataValidations count="2">
    <dataValidation type="list" allowBlank="1" showInputMessage="1" showErrorMessage="1" promptTitle="Select Budget Category" sqref="C5" xr:uid="{32C0AE66-425D-429A-AA0E-9AC8C26F4BDD}">
      <formula1>$G$6:$G$62</formula1>
    </dataValidation>
    <dataValidation type="list" allowBlank="1" showInputMessage="1" showErrorMessage="1" promptTitle="Select Budget Category" sqref="C6:C111" xr:uid="{38FC90A9-44E4-4F25-98EC-5337689F8826}">
      <formula1>$G$6:$G$63</formula1>
    </dataValidation>
  </dataValidations>
  <hyperlinks>
    <hyperlink ref="C4" location="'Budget Category'!A1" display="Budget Category" xr:uid="{31308EEC-F070-471E-A33F-6C3C9DC603F8}"/>
  </hyperlinks>
  <pageMargins left="0.7" right="0.7" top="0.75" bottom="0.75" header="0.3" footer="0.3"/>
  <pageSetup orientation="landscape"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5" id="{B5D1182F-C89E-4B30-A0BD-A4B6C996C8A3}">
            <xm:f>H67&lt;'Amend#3 Equitable Share'!K12:M12</xm:f>
            <x14:dxf>
              <fill>
                <patternFill>
                  <bgColor rgb="FFFFFF00"/>
                </patternFill>
              </fill>
            </x14:dxf>
          </x14:cfRule>
          <x14:cfRule type="expression" priority="6" id="{45E9DF59-93D5-49BB-9E70-136ECB8E3A84}">
            <xm:f>H67&gt;'Amend#3 Equitable Share'!K12:M12</xm:f>
            <x14:dxf>
              <fill>
                <patternFill>
                  <bgColor rgb="FFFF0000"/>
                </patternFill>
              </fill>
            </x14:dxf>
          </x14:cfRule>
          <x14:cfRule type="expression" priority="7" id="{72FA2421-9B5C-4AC3-917B-4782C3D8A1F0}">
            <xm:f>H67='Amend#3 Equitable Share'!K12:M12</xm:f>
            <x14:dxf>
              <fill>
                <patternFill>
                  <bgColor rgb="FF92D050"/>
                </patternFill>
              </fill>
            </x14:dxf>
          </x14:cfRule>
          <xm:sqref>H67:H96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Please choose NPS from list." xr:uid="{D7F4B142-599F-47FA-8471-66FD16DCA138}">
          <x14:formula1>
            <xm:f>'Equitable Share'!$D$12:$D$55</xm:f>
          </x14:formula1>
          <xm:sqref>A6:A111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981AF-BCE8-446B-9C7D-C0B46D42E2DD}">
  <sheetPr codeName="Sheet11">
    <tabColor rgb="FF92D050"/>
  </sheetPr>
  <dimension ref="A1:Q54"/>
  <sheetViews>
    <sheetView zoomScaleNormal="100" workbookViewId="0">
      <selection activeCell="A5" sqref="A5:M17"/>
    </sheetView>
  </sheetViews>
  <sheetFormatPr defaultRowHeight="14.4" x14ac:dyDescent="0.3"/>
  <sheetData>
    <row r="1" spans="1:17" ht="24" customHeight="1" x14ac:dyDescent="0.3">
      <c r="A1" s="492" t="s">
        <v>121</v>
      </c>
      <c r="B1" s="493"/>
      <c r="C1" s="493"/>
      <c r="D1" s="493"/>
      <c r="E1" s="493"/>
      <c r="F1" s="493"/>
      <c r="G1" s="493"/>
      <c r="H1" s="493"/>
      <c r="I1" s="493"/>
      <c r="J1" s="493"/>
      <c r="K1" s="493"/>
      <c r="L1" s="493"/>
      <c r="M1" s="493"/>
      <c r="N1" s="493"/>
      <c r="O1" s="493"/>
      <c r="P1" s="493"/>
      <c r="Q1" s="493"/>
    </row>
    <row r="2" spans="1:17" ht="45" customHeight="1" x14ac:dyDescent="0.3">
      <c r="A2" s="494" t="s">
        <v>1978</v>
      </c>
      <c r="B2" s="495"/>
      <c r="C2" s="495"/>
      <c r="D2" s="495"/>
      <c r="E2" s="495"/>
      <c r="F2" s="495"/>
      <c r="G2" s="495"/>
      <c r="H2" s="495"/>
      <c r="I2" s="495"/>
      <c r="J2" s="495"/>
      <c r="K2" s="495"/>
      <c r="L2" s="495"/>
      <c r="M2" s="495"/>
      <c r="N2" s="495"/>
      <c r="O2" s="495"/>
      <c r="P2" s="495"/>
      <c r="Q2" s="495"/>
    </row>
    <row r="3" spans="1:17" ht="5.4" customHeight="1" thickBot="1" x14ac:dyDescent="0.35"/>
    <row r="4" spans="1:17" ht="44.4" customHeight="1" thickBot="1" x14ac:dyDescent="0.35">
      <c r="A4" s="496" t="s">
        <v>122</v>
      </c>
      <c r="B4" s="497"/>
      <c r="C4" s="497"/>
      <c r="D4" s="497"/>
      <c r="E4" s="497"/>
      <c r="F4" s="497"/>
      <c r="G4" s="497"/>
      <c r="H4" s="497"/>
      <c r="I4" s="497"/>
      <c r="J4" s="497"/>
      <c r="K4" s="497"/>
      <c r="L4" s="497"/>
      <c r="M4" s="498"/>
      <c r="N4" s="499" t="s">
        <v>1977</v>
      </c>
      <c r="O4" s="500"/>
      <c r="P4" s="500"/>
      <c r="Q4" s="501"/>
    </row>
    <row r="5" spans="1:17" x14ac:dyDescent="0.3">
      <c r="A5" s="477"/>
      <c r="B5" s="478"/>
      <c r="C5" s="478"/>
      <c r="D5" s="478"/>
      <c r="E5" s="478"/>
      <c r="F5" s="478"/>
      <c r="G5" s="478"/>
      <c r="H5" s="478"/>
      <c r="I5" s="478"/>
      <c r="J5" s="478"/>
      <c r="K5" s="478"/>
      <c r="L5" s="478"/>
      <c r="M5" s="479"/>
      <c r="N5" s="486"/>
      <c r="O5" s="487"/>
      <c r="P5" s="487"/>
      <c r="Q5" s="488"/>
    </row>
    <row r="6" spans="1:17" x14ac:dyDescent="0.3">
      <c r="A6" s="480"/>
      <c r="B6" s="481"/>
      <c r="C6" s="481"/>
      <c r="D6" s="481"/>
      <c r="E6" s="481"/>
      <c r="F6" s="481"/>
      <c r="G6" s="481"/>
      <c r="H6" s="481"/>
      <c r="I6" s="481"/>
      <c r="J6" s="481"/>
      <c r="K6" s="481"/>
      <c r="L6" s="481"/>
      <c r="M6" s="482"/>
      <c r="N6" s="486"/>
      <c r="O6" s="487"/>
      <c r="P6" s="487"/>
      <c r="Q6" s="488"/>
    </row>
    <row r="7" spans="1:17" x14ac:dyDescent="0.3">
      <c r="A7" s="480"/>
      <c r="B7" s="481"/>
      <c r="C7" s="481"/>
      <c r="D7" s="481"/>
      <c r="E7" s="481"/>
      <c r="F7" s="481"/>
      <c r="G7" s="481"/>
      <c r="H7" s="481"/>
      <c r="I7" s="481"/>
      <c r="J7" s="481"/>
      <c r="K7" s="481"/>
      <c r="L7" s="481"/>
      <c r="M7" s="482"/>
      <c r="N7" s="486"/>
      <c r="O7" s="487"/>
      <c r="P7" s="487"/>
      <c r="Q7" s="488"/>
    </row>
    <row r="8" spans="1:17" x14ac:dyDescent="0.3">
      <c r="A8" s="480"/>
      <c r="B8" s="481"/>
      <c r="C8" s="481"/>
      <c r="D8" s="481"/>
      <c r="E8" s="481"/>
      <c r="F8" s="481"/>
      <c r="G8" s="481"/>
      <c r="H8" s="481"/>
      <c r="I8" s="481"/>
      <c r="J8" s="481"/>
      <c r="K8" s="481"/>
      <c r="L8" s="481"/>
      <c r="M8" s="482"/>
      <c r="N8" s="486"/>
      <c r="O8" s="487"/>
      <c r="P8" s="487"/>
      <c r="Q8" s="488"/>
    </row>
    <row r="9" spans="1:17" x14ac:dyDescent="0.3">
      <c r="A9" s="480"/>
      <c r="B9" s="481"/>
      <c r="C9" s="481"/>
      <c r="D9" s="481"/>
      <c r="E9" s="481"/>
      <c r="F9" s="481"/>
      <c r="G9" s="481"/>
      <c r="H9" s="481"/>
      <c r="I9" s="481"/>
      <c r="J9" s="481"/>
      <c r="K9" s="481"/>
      <c r="L9" s="481"/>
      <c r="M9" s="482"/>
      <c r="N9" s="486"/>
      <c r="O9" s="487"/>
      <c r="P9" s="487"/>
      <c r="Q9" s="488"/>
    </row>
    <row r="10" spans="1:17" x14ac:dyDescent="0.3">
      <c r="A10" s="480"/>
      <c r="B10" s="481"/>
      <c r="C10" s="481"/>
      <c r="D10" s="481"/>
      <c r="E10" s="481"/>
      <c r="F10" s="481"/>
      <c r="G10" s="481"/>
      <c r="H10" s="481"/>
      <c r="I10" s="481"/>
      <c r="J10" s="481"/>
      <c r="K10" s="481"/>
      <c r="L10" s="481"/>
      <c r="M10" s="482"/>
      <c r="N10" s="486"/>
      <c r="O10" s="487"/>
      <c r="P10" s="487"/>
      <c r="Q10" s="488"/>
    </row>
    <row r="11" spans="1:17" x14ac:dyDescent="0.3">
      <c r="A11" s="480"/>
      <c r="B11" s="481"/>
      <c r="C11" s="481"/>
      <c r="D11" s="481"/>
      <c r="E11" s="481"/>
      <c r="F11" s="481"/>
      <c r="G11" s="481"/>
      <c r="H11" s="481"/>
      <c r="I11" s="481"/>
      <c r="J11" s="481"/>
      <c r="K11" s="481"/>
      <c r="L11" s="481"/>
      <c r="M11" s="482"/>
      <c r="N11" s="486"/>
      <c r="O11" s="487"/>
      <c r="P11" s="487"/>
      <c r="Q11" s="488"/>
    </row>
    <row r="12" spans="1:17" x14ac:dyDescent="0.3">
      <c r="A12" s="480"/>
      <c r="B12" s="481"/>
      <c r="C12" s="481"/>
      <c r="D12" s="481"/>
      <c r="E12" s="481"/>
      <c r="F12" s="481"/>
      <c r="G12" s="481"/>
      <c r="H12" s="481"/>
      <c r="I12" s="481"/>
      <c r="J12" s="481"/>
      <c r="K12" s="481"/>
      <c r="L12" s="481"/>
      <c r="M12" s="482"/>
      <c r="N12" s="486"/>
      <c r="O12" s="487"/>
      <c r="P12" s="487"/>
      <c r="Q12" s="488"/>
    </row>
    <row r="13" spans="1:17" x14ac:dyDescent="0.3">
      <c r="A13" s="480"/>
      <c r="B13" s="481"/>
      <c r="C13" s="481"/>
      <c r="D13" s="481"/>
      <c r="E13" s="481"/>
      <c r="F13" s="481"/>
      <c r="G13" s="481"/>
      <c r="H13" s="481"/>
      <c r="I13" s="481"/>
      <c r="J13" s="481"/>
      <c r="K13" s="481"/>
      <c r="L13" s="481"/>
      <c r="M13" s="482"/>
      <c r="N13" s="486"/>
      <c r="O13" s="487"/>
      <c r="P13" s="487"/>
      <c r="Q13" s="488"/>
    </row>
    <row r="14" spans="1:17" x14ac:dyDescent="0.3">
      <c r="A14" s="480"/>
      <c r="B14" s="481"/>
      <c r="C14" s="481"/>
      <c r="D14" s="481"/>
      <c r="E14" s="481"/>
      <c r="F14" s="481"/>
      <c r="G14" s="481"/>
      <c r="H14" s="481"/>
      <c r="I14" s="481"/>
      <c r="J14" s="481"/>
      <c r="K14" s="481"/>
      <c r="L14" s="481"/>
      <c r="M14" s="482"/>
      <c r="N14" s="486"/>
      <c r="O14" s="487"/>
      <c r="P14" s="487"/>
      <c r="Q14" s="488"/>
    </row>
    <row r="15" spans="1:17" x14ac:dyDescent="0.3">
      <c r="A15" s="480"/>
      <c r="B15" s="481"/>
      <c r="C15" s="481"/>
      <c r="D15" s="481"/>
      <c r="E15" s="481"/>
      <c r="F15" s="481"/>
      <c r="G15" s="481"/>
      <c r="H15" s="481"/>
      <c r="I15" s="481"/>
      <c r="J15" s="481"/>
      <c r="K15" s="481"/>
      <c r="L15" s="481"/>
      <c r="M15" s="482"/>
      <c r="N15" s="486"/>
      <c r="O15" s="487"/>
      <c r="P15" s="487"/>
      <c r="Q15" s="488"/>
    </row>
    <row r="16" spans="1:17" x14ac:dyDescent="0.3">
      <c r="A16" s="480"/>
      <c r="B16" s="481"/>
      <c r="C16" s="481"/>
      <c r="D16" s="481"/>
      <c r="E16" s="481"/>
      <c r="F16" s="481"/>
      <c r="G16" s="481"/>
      <c r="H16" s="481"/>
      <c r="I16" s="481"/>
      <c r="J16" s="481"/>
      <c r="K16" s="481"/>
      <c r="L16" s="481"/>
      <c r="M16" s="482"/>
      <c r="N16" s="486"/>
      <c r="O16" s="487"/>
      <c r="P16" s="487"/>
      <c r="Q16" s="488"/>
    </row>
    <row r="17" spans="1:17" ht="15" thickBot="1" x14ac:dyDescent="0.35">
      <c r="A17" s="483"/>
      <c r="B17" s="484"/>
      <c r="C17" s="484"/>
      <c r="D17" s="484"/>
      <c r="E17" s="484"/>
      <c r="F17" s="484"/>
      <c r="G17" s="484"/>
      <c r="H17" s="484"/>
      <c r="I17" s="484"/>
      <c r="J17" s="484"/>
      <c r="K17" s="484"/>
      <c r="L17" s="484"/>
      <c r="M17" s="485"/>
      <c r="N17" s="489"/>
      <c r="O17" s="490"/>
      <c r="P17" s="490"/>
      <c r="Q17" s="491"/>
    </row>
    <row r="18" spans="1:17" ht="43.2" customHeight="1" thickBot="1" x14ac:dyDescent="0.35">
      <c r="A18" s="496" t="s">
        <v>123</v>
      </c>
      <c r="B18" s="497"/>
      <c r="C18" s="497"/>
      <c r="D18" s="497"/>
      <c r="E18" s="497"/>
      <c r="F18" s="497"/>
      <c r="G18" s="497"/>
      <c r="H18" s="497"/>
      <c r="I18" s="497"/>
      <c r="J18" s="497"/>
      <c r="K18" s="497"/>
      <c r="L18" s="497"/>
      <c r="M18" s="498"/>
      <c r="N18" s="499" t="s">
        <v>125</v>
      </c>
      <c r="O18" s="500"/>
      <c r="P18" s="500"/>
      <c r="Q18" s="501"/>
    </row>
    <row r="19" spans="1:17" x14ac:dyDescent="0.3">
      <c r="A19" s="477"/>
      <c r="B19" s="478"/>
      <c r="C19" s="478"/>
      <c r="D19" s="478"/>
      <c r="E19" s="478"/>
      <c r="F19" s="478"/>
      <c r="G19" s="478"/>
      <c r="H19" s="478"/>
      <c r="I19" s="478"/>
      <c r="J19" s="478"/>
      <c r="K19" s="478"/>
      <c r="L19" s="478"/>
      <c r="M19" s="479"/>
      <c r="N19" s="486"/>
      <c r="O19" s="487"/>
      <c r="P19" s="487"/>
      <c r="Q19" s="488"/>
    </row>
    <row r="20" spans="1:17" x14ac:dyDescent="0.3">
      <c r="A20" s="480"/>
      <c r="B20" s="481"/>
      <c r="C20" s="481"/>
      <c r="D20" s="481"/>
      <c r="E20" s="481"/>
      <c r="F20" s="481"/>
      <c r="G20" s="481"/>
      <c r="H20" s="481"/>
      <c r="I20" s="481"/>
      <c r="J20" s="481"/>
      <c r="K20" s="481"/>
      <c r="L20" s="481"/>
      <c r="M20" s="482"/>
      <c r="N20" s="486"/>
      <c r="O20" s="487"/>
      <c r="P20" s="487"/>
      <c r="Q20" s="488"/>
    </row>
    <row r="21" spans="1:17" x14ac:dyDescent="0.3">
      <c r="A21" s="480"/>
      <c r="B21" s="481"/>
      <c r="C21" s="481"/>
      <c r="D21" s="481"/>
      <c r="E21" s="481"/>
      <c r="F21" s="481"/>
      <c r="G21" s="481"/>
      <c r="H21" s="481"/>
      <c r="I21" s="481"/>
      <c r="J21" s="481"/>
      <c r="K21" s="481"/>
      <c r="L21" s="481"/>
      <c r="M21" s="482"/>
      <c r="N21" s="486"/>
      <c r="O21" s="487"/>
      <c r="P21" s="487"/>
      <c r="Q21" s="488"/>
    </row>
    <row r="22" spans="1:17" x14ac:dyDescent="0.3">
      <c r="A22" s="480"/>
      <c r="B22" s="481"/>
      <c r="C22" s="481"/>
      <c r="D22" s="481"/>
      <c r="E22" s="481"/>
      <c r="F22" s="481"/>
      <c r="G22" s="481"/>
      <c r="H22" s="481"/>
      <c r="I22" s="481"/>
      <c r="J22" s="481"/>
      <c r="K22" s="481"/>
      <c r="L22" s="481"/>
      <c r="M22" s="482"/>
      <c r="N22" s="486"/>
      <c r="O22" s="487"/>
      <c r="P22" s="487"/>
      <c r="Q22" s="488"/>
    </row>
    <row r="23" spans="1:17" x14ac:dyDescent="0.3">
      <c r="A23" s="480"/>
      <c r="B23" s="481"/>
      <c r="C23" s="481"/>
      <c r="D23" s="481"/>
      <c r="E23" s="481"/>
      <c r="F23" s="481"/>
      <c r="G23" s="481"/>
      <c r="H23" s="481"/>
      <c r="I23" s="481"/>
      <c r="J23" s="481"/>
      <c r="K23" s="481"/>
      <c r="L23" s="481"/>
      <c r="M23" s="482"/>
      <c r="N23" s="486"/>
      <c r="O23" s="487"/>
      <c r="P23" s="487"/>
      <c r="Q23" s="488"/>
    </row>
    <row r="24" spans="1:17" x14ac:dyDescent="0.3">
      <c r="A24" s="480"/>
      <c r="B24" s="481"/>
      <c r="C24" s="481"/>
      <c r="D24" s="481"/>
      <c r="E24" s="481"/>
      <c r="F24" s="481"/>
      <c r="G24" s="481"/>
      <c r="H24" s="481"/>
      <c r="I24" s="481"/>
      <c r="J24" s="481"/>
      <c r="K24" s="481"/>
      <c r="L24" s="481"/>
      <c r="M24" s="482"/>
      <c r="N24" s="486"/>
      <c r="O24" s="487"/>
      <c r="P24" s="487"/>
      <c r="Q24" s="488"/>
    </row>
    <row r="25" spans="1:17" x14ac:dyDescent="0.3">
      <c r="A25" s="480"/>
      <c r="B25" s="481"/>
      <c r="C25" s="481"/>
      <c r="D25" s="481"/>
      <c r="E25" s="481"/>
      <c r="F25" s="481"/>
      <c r="G25" s="481"/>
      <c r="H25" s="481"/>
      <c r="I25" s="481"/>
      <c r="J25" s="481"/>
      <c r="K25" s="481"/>
      <c r="L25" s="481"/>
      <c r="M25" s="482"/>
      <c r="N25" s="486"/>
      <c r="O25" s="487"/>
      <c r="P25" s="487"/>
      <c r="Q25" s="488"/>
    </row>
    <row r="26" spans="1:17" x14ac:dyDescent="0.3">
      <c r="A26" s="480"/>
      <c r="B26" s="481"/>
      <c r="C26" s="481"/>
      <c r="D26" s="481"/>
      <c r="E26" s="481"/>
      <c r="F26" s="481"/>
      <c r="G26" s="481"/>
      <c r="H26" s="481"/>
      <c r="I26" s="481"/>
      <c r="J26" s="481"/>
      <c r="K26" s="481"/>
      <c r="L26" s="481"/>
      <c r="M26" s="482"/>
      <c r="N26" s="486"/>
      <c r="O26" s="487"/>
      <c r="P26" s="487"/>
      <c r="Q26" s="488"/>
    </row>
    <row r="27" spans="1:17" x14ac:dyDescent="0.3">
      <c r="A27" s="480"/>
      <c r="B27" s="481"/>
      <c r="C27" s="481"/>
      <c r="D27" s="481"/>
      <c r="E27" s="481"/>
      <c r="F27" s="481"/>
      <c r="G27" s="481"/>
      <c r="H27" s="481"/>
      <c r="I27" s="481"/>
      <c r="J27" s="481"/>
      <c r="K27" s="481"/>
      <c r="L27" s="481"/>
      <c r="M27" s="482"/>
      <c r="N27" s="486"/>
      <c r="O27" s="487"/>
      <c r="P27" s="487"/>
      <c r="Q27" s="488"/>
    </row>
    <row r="28" spans="1:17" x14ac:dyDescent="0.3">
      <c r="A28" s="480"/>
      <c r="B28" s="481"/>
      <c r="C28" s="481"/>
      <c r="D28" s="481"/>
      <c r="E28" s="481"/>
      <c r="F28" s="481"/>
      <c r="G28" s="481"/>
      <c r="H28" s="481"/>
      <c r="I28" s="481"/>
      <c r="J28" s="481"/>
      <c r="K28" s="481"/>
      <c r="L28" s="481"/>
      <c r="M28" s="482"/>
      <c r="N28" s="486"/>
      <c r="O28" s="487"/>
      <c r="P28" s="487"/>
      <c r="Q28" s="488"/>
    </row>
    <row r="29" spans="1:17" x14ac:dyDescent="0.3">
      <c r="A29" s="480"/>
      <c r="B29" s="481"/>
      <c r="C29" s="481"/>
      <c r="D29" s="481"/>
      <c r="E29" s="481"/>
      <c r="F29" s="481"/>
      <c r="G29" s="481"/>
      <c r="H29" s="481"/>
      <c r="I29" s="481"/>
      <c r="J29" s="481"/>
      <c r="K29" s="481"/>
      <c r="L29" s="481"/>
      <c r="M29" s="482"/>
      <c r="N29" s="486"/>
      <c r="O29" s="487"/>
      <c r="P29" s="487"/>
      <c r="Q29" s="488"/>
    </row>
    <row r="30" spans="1:17" x14ac:dyDescent="0.3">
      <c r="A30" s="480"/>
      <c r="B30" s="481"/>
      <c r="C30" s="481"/>
      <c r="D30" s="481"/>
      <c r="E30" s="481"/>
      <c r="F30" s="481"/>
      <c r="G30" s="481"/>
      <c r="H30" s="481"/>
      <c r="I30" s="481"/>
      <c r="J30" s="481"/>
      <c r="K30" s="481"/>
      <c r="L30" s="481"/>
      <c r="M30" s="482"/>
      <c r="N30" s="486"/>
      <c r="O30" s="487"/>
      <c r="P30" s="487"/>
      <c r="Q30" s="488"/>
    </row>
    <row r="31" spans="1:17" ht="15" thickBot="1" x14ac:dyDescent="0.35">
      <c r="A31" s="483"/>
      <c r="B31" s="484"/>
      <c r="C31" s="484"/>
      <c r="D31" s="484"/>
      <c r="E31" s="484"/>
      <c r="F31" s="484"/>
      <c r="G31" s="484"/>
      <c r="H31" s="484"/>
      <c r="I31" s="484"/>
      <c r="J31" s="484"/>
      <c r="K31" s="484"/>
      <c r="L31" s="484"/>
      <c r="M31" s="485"/>
      <c r="N31" s="486"/>
      <c r="O31" s="487"/>
      <c r="P31" s="487"/>
      <c r="Q31" s="488"/>
    </row>
    <row r="32" spans="1:17" ht="44.4" customHeight="1" thickBot="1" x14ac:dyDescent="0.35">
      <c r="A32" s="496" t="s">
        <v>124</v>
      </c>
      <c r="B32" s="497"/>
      <c r="C32" s="497"/>
      <c r="D32" s="497"/>
      <c r="E32" s="497"/>
      <c r="F32" s="497"/>
      <c r="G32" s="497"/>
      <c r="H32" s="497"/>
      <c r="I32" s="497"/>
      <c r="J32" s="497"/>
      <c r="K32" s="497"/>
      <c r="L32" s="497"/>
      <c r="M32" s="498"/>
      <c r="N32" s="486"/>
      <c r="O32" s="487"/>
      <c r="P32" s="487"/>
      <c r="Q32" s="488"/>
    </row>
    <row r="33" spans="1:17" x14ac:dyDescent="0.3">
      <c r="A33" s="477"/>
      <c r="B33" s="478"/>
      <c r="C33" s="478"/>
      <c r="D33" s="478"/>
      <c r="E33" s="478"/>
      <c r="F33" s="478"/>
      <c r="G33" s="478"/>
      <c r="H33" s="478"/>
      <c r="I33" s="478"/>
      <c r="J33" s="478"/>
      <c r="K33" s="478"/>
      <c r="L33" s="478"/>
      <c r="M33" s="479"/>
      <c r="N33" s="486"/>
      <c r="O33" s="487"/>
      <c r="P33" s="487"/>
      <c r="Q33" s="488"/>
    </row>
    <row r="34" spans="1:17" x14ac:dyDescent="0.3">
      <c r="A34" s="480"/>
      <c r="B34" s="481"/>
      <c r="C34" s="481"/>
      <c r="D34" s="481"/>
      <c r="E34" s="481"/>
      <c r="F34" s="481"/>
      <c r="G34" s="481"/>
      <c r="H34" s="481"/>
      <c r="I34" s="481"/>
      <c r="J34" s="481"/>
      <c r="K34" s="481"/>
      <c r="L34" s="481"/>
      <c r="M34" s="482"/>
      <c r="N34" s="486"/>
      <c r="O34" s="487"/>
      <c r="P34" s="487"/>
      <c r="Q34" s="488"/>
    </row>
    <row r="35" spans="1:17" x14ac:dyDescent="0.3">
      <c r="A35" s="480"/>
      <c r="B35" s="481"/>
      <c r="C35" s="481"/>
      <c r="D35" s="481"/>
      <c r="E35" s="481"/>
      <c r="F35" s="481"/>
      <c r="G35" s="481"/>
      <c r="H35" s="481"/>
      <c r="I35" s="481"/>
      <c r="J35" s="481"/>
      <c r="K35" s="481"/>
      <c r="L35" s="481"/>
      <c r="M35" s="482"/>
      <c r="N35" s="486"/>
      <c r="O35" s="487"/>
      <c r="P35" s="487"/>
      <c r="Q35" s="488"/>
    </row>
    <row r="36" spans="1:17" x14ac:dyDescent="0.3">
      <c r="A36" s="480"/>
      <c r="B36" s="481"/>
      <c r="C36" s="481"/>
      <c r="D36" s="481"/>
      <c r="E36" s="481"/>
      <c r="F36" s="481"/>
      <c r="G36" s="481"/>
      <c r="H36" s="481"/>
      <c r="I36" s="481"/>
      <c r="J36" s="481"/>
      <c r="K36" s="481"/>
      <c r="L36" s="481"/>
      <c r="M36" s="482"/>
      <c r="N36" s="486"/>
      <c r="O36" s="487"/>
      <c r="P36" s="487"/>
      <c r="Q36" s="488"/>
    </row>
    <row r="37" spans="1:17" x14ac:dyDescent="0.3">
      <c r="A37" s="480"/>
      <c r="B37" s="481"/>
      <c r="C37" s="481"/>
      <c r="D37" s="481"/>
      <c r="E37" s="481"/>
      <c r="F37" s="481"/>
      <c r="G37" s="481"/>
      <c r="H37" s="481"/>
      <c r="I37" s="481"/>
      <c r="J37" s="481"/>
      <c r="K37" s="481"/>
      <c r="L37" s="481"/>
      <c r="M37" s="482"/>
      <c r="N37" s="486"/>
      <c r="O37" s="487"/>
      <c r="P37" s="487"/>
      <c r="Q37" s="488"/>
    </row>
    <row r="38" spans="1:17" x14ac:dyDescent="0.3">
      <c r="A38" s="480"/>
      <c r="B38" s="481"/>
      <c r="C38" s="481"/>
      <c r="D38" s="481"/>
      <c r="E38" s="481"/>
      <c r="F38" s="481"/>
      <c r="G38" s="481"/>
      <c r="H38" s="481"/>
      <c r="I38" s="481"/>
      <c r="J38" s="481"/>
      <c r="K38" s="481"/>
      <c r="L38" s="481"/>
      <c r="M38" s="482"/>
      <c r="N38" s="486"/>
      <c r="O38" s="487"/>
      <c r="P38" s="487"/>
      <c r="Q38" s="488"/>
    </row>
    <row r="39" spans="1:17" x14ac:dyDescent="0.3">
      <c r="A39" s="480"/>
      <c r="B39" s="481"/>
      <c r="C39" s="481"/>
      <c r="D39" s="481"/>
      <c r="E39" s="481"/>
      <c r="F39" s="481"/>
      <c r="G39" s="481"/>
      <c r="H39" s="481"/>
      <c r="I39" s="481"/>
      <c r="J39" s="481"/>
      <c r="K39" s="481"/>
      <c r="L39" s="481"/>
      <c r="M39" s="482"/>
      <c r="N39" s="486"/>
      <c r="O39" s="487"/>
      <c r="P39" s="487"/>
      <c r="Q39" s="488"/>
    </row>
    <row r="40" spans="1:17" x14ac:dyDescent="0.3">
      <c r="A40" s="480"/>
      <c r="B40" s="481"/>
      <c r="C40" s="481"/>
      <c r="D40" s="481"/>
      <c r="E40" s="481"/>
      <c r="F40" s="481"/>
      <c r="G40" s="481"/>
      <c r="H40" s="481"/>
      <c r="I40" s="481"/>
      <c r="J40" s="481"/>
      <c r="K40" s="481"/>
      <c r="L40" s="481"/>
      <c r="M40" s="482"/>
      <c r="N40" s="486"/>
      <c r="O40" s="487"/>
      <c r="P40" s="487"/>
      <c r="Q40" s="488"/>
    </row>
    <row r="41" spans="1:17" x14ac:dyDescent="0.3">
      <c r="A41" s="480"/>
      <c r="B41" s="481"/>
      <c r="C41" s="481"/>
      <c r="D41" s="481"/>
      <c r="E41" s="481"/>
      <c r="F41" s="481"/>
      <c r="G41" s="481"/>
      <c r="H41" s="481"/>
      <c r="I41" s="481"/>
      <c r="J41" s="481"/>
      <c r="K41" s="481"/>
      <c r="L41" s="481"/>
      <c r="M41" s="482"/>
      <c r="N41" s="486"/>
      <c r="O41" s="487"/>
      <c r="P41" s="487"/>
      <c r="Q41" s="488"/>
    </row>
    <row r="42" spans="1:17" x14ac:dyDescent="0.3">
      <c r="A42" s="480"/>
      <c r="B42" s="481"/>
      <c r="C42" s="481"/>
      <c r="D42" s="481"/>
      <c r="E42" s="481"/>
      <c r="F42" s="481"/>
      <c r="G42" s="481"/>
      <c r="H42" s="481"/>
      <c r="I42" s="481"/>
      <c r="J42" s="481"/>
      <c r="K42" s="481"/>
      <c r="L42" s="481"/>
      <c r="M42" s="482"/>
      <c r="N42" s="486"/>
      <c r="O42" s="487"/>
      <c r="P42" s="487"/>
      <c r="Q42" s="488"/>
    </row>
    <row r="43" spans="1:17" x14ac:dyDescent="0.3">
      <c r="A43" s="480"/>
      <c r="B43" s="481"/>
      <c r="C43" s="481"/>
      <c r="D43" s="481"/>
      <c r="E43" s="481"/>
      <c r="F43" s="481"/>
      <c r="G43" s="481"/>
      <c r="H43" s="481"/>
      <c r="I43" s="481"/>
      <c r="J43" s="481"/>
      <c r="K43" s="481"/>
      <c r="L43" s="481"/>
      <c r="M43" s="482"/>
      <c r="N43" s="486"/>
      <c r="O43" s="487"/>
      <c r="P43" s="487"/>
      <c r="Q43" s="488"/>
    </row>
    <row r="44" spans="1:17" x14ac:dyDescent="0.3">
      <c r="A44" s="480"/>
      <c r="B44" s="481"/>
      <c r="C44" s="481"/>
      <c r="D44" s="481"/>
      <c r="E44" s="481"/>
      <c r="F44" s="481"/>
      <c r="G44" s="481"/>
      <c r="H44" s="481"/>
      <c r="I44" s="481"/>
      <c r="J44" s="481"/>
      <c r="K44" s="481"/>
      <c r="L44" s="481"/>
      <c r="M44" s="482"/>
      <c r="N44" s="486"/>
      <c r="O44" s="487"/>
      <c r="P44" s="487"/>
      <c r="Q44" s="488"/>
    </row>
    <row r="45" spans="1:17" ht="15" thickBot="1" x14ac:dyDescent="0.35">
      <c r="A45" s="483"/>
      <c r="B45" s="484"/>
      <c r="C45" s="484"/>
      <c r="D45" s="484"/>
      <c r="E45" s="484"/>
      <c r="F45" s="484"/>
      <c r="G45" s="484"/>
      <c r="H45" s="484"/>
      <c r="I45" s="484"/>
      <c r="J45" s="484"/>
      <c r="K45" s="484"/>
      <c r="L45" s="484"/>
      <c r="M45" s="485"/>
      <c r="N45" s="489"/>
      <c r="O45" s="490"/>
      <c r="P45" s="490"/>
      <c r="Q45" s="491"/>
    </row>
    <row r="47" spans="1:17" ht="21" x14ac:dyDescent="0.4">
      <c r="A47" s="20" t="s">
        <v>126</v>
      </c>
    </row>
    <row r="48" spans="1:17" x14ac:dyDescent="0.3">
      <c r="A48" s="19" t="s">
        <v>127</v>
      </c>
    </row>
    <row r="49" spans="1:2" x14ac:dyDescent="0.3">
      <c r="B49" s="134" t="s">
        <v>128</v>
      </c>
    </row>
    <row r="50" spans="1:2" x14ac:dyDescent="0.3">
      <c r="B50" s="134"/>
    </row>
    <row r="51" spans="1:2" x14ac:dyDescent="0.3">
      <c r="B51" s="134"/>
    </row>
    <row r="53" spans="1:2" x14ac:dyDescent="0.3">
      <c r="A53" s="19" t="s">
        <v>129</v>
      </c>
    </row>
    <row r="54" spans="1:2" x14ac:dyDescent="0.3">
      <c r="B54" s="135" t="s">
        <v>130</v>
      </c>
    </row>
  </sheetData>
  <sheetProtection algorithmName="SHA-512" hashValue="RXymMy7e3Mgg0+bzebmkf9exGJV0dEAQySifjPm8iVoNKcLwCqnwz+j05qa8w4Cc2GMLwTVHHwK3SLTafo8Enw==" saltValue="TL3uPoaWsVggcqK/pH3djA==" spinCount="100000" sheet="1" objects="1" scenarios="1" selectLockedCells="1"/>
  <mergeCells count="12">
    <mergeCell ref="A33:M45"/>
    <mergeCell ref="N19:Q45"/>
    <mergeCell ref="A1:Q1"/>
    <mergeCell ref="A2:Q2"/>
    <mergeCell ref="A18:M18"/>
    <mergeCell ref="A32:M32"/>
    <mergeCell ref="N18:Q18"/>
    <mergeCell ref="A4:M4"/>
    <mergeCell ref="N4:Q4"/>
    <mergeCell ref="N5:Q17"/>
    <mergeCell ref="A5:M17"/>
    <mergeCell ref="A19:M31"/>
  </mergeCells>
  <hyperlinks>
    <hyperlink ref="B49" r:id="rId1" display="https://www.youtube.com/watch?v=f06W2Xm6FZs&amp;feature=youtu.be" xr:uid="{A31C01F7-94A3-4135-AC42-1B451DEC116A}"/>
    <hyperlink ref="B54" r:id="rId2" xr:uid="{278BE8C6-3B1F-4762-9455-1D0B04EF578B}"/>
  </hyperlinks>
  <pageMargins left="0.7" right="0.7" top="0.75" bottom="0.75" header="0.3" footer="0.3"/>
  <pageSetup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3313" r:id="rId6" name="Check Box 1">
              <controlPr defaultSize="0" autoFill="0" autoLine="0" autoPict="0">
                <anchor moveWithCells="1">
                  <from>
                    <xdr:col>13</xdr:col>
                    <xdr:colOff>7620</xdr:colOff>
                    <xdr:row>4</xdr:row>
                    <xdr:rowOff>76200</xdr:rowOff>
                  </from>
                  <to>
                    <xdr:col>14</xdr:col>
                    <xdr:colOff>137160</xdr:colOff>
                    <xdr:row>5</xdr:row>
                    <xdr:rowOff>106680</xdr:rowOff>
                  </to>
                </anchor>
              </controlPr>
            </control>
          </mc:Choice>
        </mc:AlternateContent>
        <mc:AlternateContent xmlns:mc="http://schemas.openxmlformats.org/markup-compatibility/2006">
          <mc:Choice Requires="x14">
            <control shapeId="13314" r:id="rId7" name="Check Box 2">
              <controlPr defaultSize="0" autoFill="0" autoLine="0" autoPict="0">
                <anchor moveWithCells="1">
                  <from>
                    <xdr:col>13</xdr:col>
                    <xdr:colOff>7620</xdr:colOff>
                    <xdr:row>5</xdr:row>
                    <xdr:rowOff>68580</xdr:rowOff>
                  </from>
                  <to>
                    <xdr:col>14</xdr:col>
                    <xdr:colOff>137160</xdr:colOff>
                    <xdr:row>6</xdr:row>
                    <xdr:rowOff>99060</xdr:rowOff>
                  </to>
                </anchor>
              </controlPr>
            </control>
          </mc:Choice>
        </mc:AlternateContent>
        <mc:AlternateContent xmlns:mc="http://schemas.openxmlformats.org/markup-compatibility/2006">
          <mc:Choice Requires="x14">
            <control shapeId="13315" r:id="rId8" name="Check Box 3">
              <controlPr defaultSize="0" autoFill="0" autoLine="0" autoPict="0">
                <anchor moveWithCells="1">
                  <from>
                    <xdr:col>13</xdr:col>
                    <xdr:colOff>7620</xdr:colOff>
                    <xdr:row>6</xdr:row>
                    <xdr:rowOff>60960</xdr:rowOff>
                  </from>
                  <to>
                    <xdr:col>16</xdr:col>
                    <xdr:colOff>251460</xdr:colOff>
                    <xdr:row>7</xdr:row>
                    <xdr:rowOff>99060</xdr:rowOff>
                  </to>
                </anchor>
              </controlPr>
            </control>
          </mc:Choice>
        </mc:AlternateContent>
        <mc:AlternateContent xmlns:mc="http://schemas.openxmlformats.org/markup-compatibility/2006">
          <mc:Choice Requires="x14">
            <control shapeId="13316" r:id="rId9" name="Check Box 4">
              <controlPr defaultSize="0" autoFill="0" autoLine="0" autoPict="0">
                <anchor moveWithCells="1">
                  <from>
                    <xdr:col>13</xdr:col>
                    <xdr:colOff>7620</xdr:colOff>
                    <xdr:row>7</xdr:row>
                    <xdr:rowOff>60960</xdr:rowOff>
                  </from>
                  <to>
                    <xdr:col>16</xdr:col>
                    <xdr:colOff>121920</xdr:colOff>
                    <xdr:row>8</xdr:row>
                    <xdr:rowOff>83820</xdr:rowOff>
                  </to>
                </anchor>
              </controlPr>
            </control>
          </mc:Choice>
        </mc:AlternateContent>
        <mc:AlternateContent xmlns:mc="http://schemas.openxmlformats.org/markup-compatibility/2006">
          <mc:Choice Requires="x14">
            <control shapeId="13317" r:id="rId10" name="Check Box 5">
              <controlPr defaultSize="0" autoFill="0" autoLine="0" autoPict="0">
                <anchor moveWithCells="1">
                  <from>
                    <xdr:col>13</xdr:col>
                    <xdr:colOff>7620</xdr:colOff>
                    <xdr:row>8</xdr:row>
                    <xdr:rowOff>38100</xdr:rowOff>
                  </from>
                  <to>
                    <xdr:col>16</xdr:col>
                    <xdr:colOff>182880</xdr:colOff>
                    <xdr:row>9</xdr:row>
                    <xdr:rowOff>68580</xdr:rowOff>
                  </to>
                </anchor>
              </controlPr>
            </control>
          </mc:Choice>
        </mc:AlternateContent>
        <mc:AlternateContent xmlns:mc="http://schemas.openxmlformats.org/markup-compatibility/2006">
          <mc:Choice Requires="x14">
            <control shapeId="13318" r:id="rId11" name="Check Box 6">
              <controlPr defaultSize="0" autoFill="0" autoLine="0" autoPict="0">
                <anchor moveWithCells="1">
                  <from>
                    <xdr:col>13</xdr:col>
                    <xdr:colOff>7620</xdr:colOff>
                    <xdr:row>9</xdr:row>
                    <xdr:rowOff>30480</xdr:rowOff>
                  </from>
                  <to>
                    <xdr:col>15</xdr:col>
                    <xdr:colOff>480060</xdr:colOff>
                    <xdr:row>10</xdr:row>
                    <xdr:rowOff>60960</xdr:rowOff>
                  </to>
                </anchor>
              </controlPr>
            </control>
          </mc:Choice>
        </mc:AlternateContent>
        <mc:AlternateContent xmlns:mc="http://schemas.openxmlformats.org/markup-compatibility/2006">
          <mc:Choice Requires="x14">
            <control shapeId="13319" r:id="rId12" name="Check Box 7">
              <controlPr defaultSize="0" autoFill="0" autoLine="0" autoPict="0">
                <anchor moveWithCells="1">
                  <from>
                    <xdr:col>13</xdr:col>
                    <xdr:colOff>7620</xdr:colOff>
                    <xdr:row>10</xdr:row>
                    <xdr:rowOff>22860</xdr:rowOff>
                  </from>
                  <to>
                    <xdr:col>16</xdr:col>
                    <xdr:colOff>251460</xdr:colOff>
                    <xdr:row>11</xdr:row>
                    <xdr:rowOff>60960</xdr:rowOff>
                  </to>
                </anchor>
              </controlPr>
            </control>
          </mc:Choice>
        </mc:AlternateContent>
        <mc:AlternateContent xmlns:mc="http://schemas.openxmlformats.org/markup-compatibility/2006">
          <mc:Choice Requires="x14">
            <control shapeId="13320" r:id="rId13" name="Check Box 8">
              <controlPr defaultSize="0" autoFill="0" autoLine="0" autoPict="0">
                <anchor moveWithCells="1">
                  <from>
                    <xdr:col>13</xdr:col>
                    <xdr:colOff>7620</xdr:colOff>
                    <xdr:row>11</xdr:row>
                    <xdr:rowOff>22860</xdr:rowOff>
                  </from>
                  <to>
                    <xdr:col>16</xdr:col>
                    <xdr:colOff>121920</xdr:colOff>
                    <xdr:row>12</xdr:row>
                    <xdr:rowOff>45720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C5683-FCFB-425B-A35D-381EECD9D262}">
  <sheetPr codeName="Sheet25">
    <tabColor rgb="FFFF7C80"/>
  </sheetPr>
  <dimension ref="A1:M74"/>
  <sheetViews>
    <sheetView showGridLines="0" zoomScaleNormal="100" workbookViewId="0">
      <selection activeCell="C13" sqref="C13:D13"/>
    </sheetView>
  </sheetViews>
  <sheetFormatPr defaultRowHeight="14.4" x14ac:dyDescent="0.3"/>
  <cols>
    <col min="1" max="1" width="61" customWidth="1"/>
    <col min="2" max="2" width="12.5546875" style="3" bestFit="1" customWidth="1"/>
    <col min="3" max="3" width="32.33203125" customWidth="1"/>
    <col min="4" max="4" width="15.33203125" style="3" customWidth="1"/>
    <col min="5" max="5" width="16.44140625" customWidth="1"/>
    <col min="6" max="7" width="2" customWidth="1"/>
    <col min="8" max="8" width="46.5546875" customWidth="1"/>
    <col min="9" max="9" width="17.5546875" customWidth="1"/>
    <col min="10" max="10" width="14.33203125" customWidth="1"/>
  </cols>
  <sheetData>
    <row r="1" spans="1:13" ht="43.2" customHeight="1" thickBot="1" x14ac:dyDescent="0.35">
      <c r="A1" s="766" t="s">
        <v>424</v>
      </c>
      <c r="B1" s="767"/>
      <c r="C1" s="767"/>
      <c r="D1" s="767"/>
      <c r="E1" s="767"/>
      <c r="F1" s="767"/>
      <c r="G1" s="767"/>
      <c r="H1" s="767"/>
      <c r="I1" s="768"/>
    </row>
    <row r="2" spans="1:13" ht="14.4" customHeight="1" x14ac:dyDescent="0.3">
      <c r="A2" s="769" t="s">
        <v>425</v>
      </c>
      <c r="B2" s="770"/>
      <c r="C2" s="770"/>
      <c r="D2" s="770"/>
      <c r="E2" s="770"/>
      <c r="F2" s="770"/>
      <c r="G2" s="770"/>
      <c r="H2" s="770"/>
      <c r="I2" s="771"/>
    </row>
    <row r="3" spans="1:13" s="2" customFormat="1" ht="14.4" customHeight="1" thickBot="1" x14ac:dyDescent="0.35">
      <c r="A3" s="772"/>
      <c r="B3" s="773"/>
      <c r="C3" s="773"/>
      <c r="D3" s="773"/>
      <c r="E3" s="773"/>
      <c r="F3" s="773"/>
      <c r="G3" s="773"/>
      <c r="H3" s="773"/>
      <c r="I3" s="774"/>
    </row>
    <row r="4" spans="1:13" s="2" customFormat="1" ht="14.4" customHeight="1" thickBot="1" x14ac:dyDescent="0.4">
      <c r="A4" s="21" t="s">
        <v>32</v>
      </c>
      <c r="B4" s="22" t="s">
        <v>135</v>
      </c>
      <c r="C4" s="225" t="s">
        <v>33</v>
      </c>
      <c r="D4" s="24"/>
      <c r="E4" s="21" t="s">
        <v>1984</v>
      </c>
      <c r="F4" s="1"/>
      <c r="G4" s="1"/>
      <c r="H4" s="1"/>
      <c r="I4" s="1"/>
      <c r="J4" s="1"/>
      <c r="K4" s="1"/>
      <c r="L4" s="1"/>
      <c r="M4" s="1"/>
    </row>
    <row r="5" spans="1:13" ht="14.4" customHeight="1" thickBot="1" x14ac:dyDescent="0.4">
      <c r="A5" s="31" t="s">
        <v>136</v>
      </c>
      <c r="B5" s="32" t="s">
        <v>137</v>
      </c>
      <c r="C5" s="775" t="s">
        <v>81</v>
      </c>
      <c r="D5" s="776"/>
      <c r="E5" s="33" t="s">
        <v>76</v>
      </c>
      <c r="H5" s="6" t="s">
        <v>66</v>
      </c>
      <c r="I5" s="7" t="s">
        <v>34</v>
      </c>
    </row>
    <row r="6" spans="1:13" ht="14.4" customHeight="1" x14ac:dyDescent="0.3">
      <c r="A6" s="136"/>
      <c r="B6" s="219"/>
      <c r="C6" s="553"/>
      <c r="D6" s="554"/>
      <c r="E6" s="65"/>
      <c r="H6" s="8" t="s">
        <v>81</v>
      </c>
      <c r="I6" s="9">
        <f>SUMIF($C$6:$C$35,"Instruction: Salary (Cert./Non Cert.)", $E$6:$E$35)</f>
        <v>0</v>
      </c>
      <c r="J6" s="34"/>
    </row>
    <row r="7" spans="1:13" ht="14.4" customHeight="1" x14ac:dyDescent="0.3">
      <c r="A7" s="55"/>
      <c r="B7" s="191"/>
      <c r="C7" s="555"/>
      <c r="D7" s="556"/>
      <c r="E7" s="66"/>
      <c r="H7" s="8" t="s">
        <v>82</v>
      </c>
      <c r="I7" s="9">
        <f>SUMIF($C$6:$C$35,"Instruction: Benefits (Cert./Non Cert.)", $E$6:$E$35)</f>
        <v>0</v>
      </c>
    </row>
    <row r="8" spans="1:13" ht="14.4" customHeight="1" x14ac:dyDescent="0.3">
      <c r="A8" s="57"/>
      <c r="B8" s="58"/>
      <c r="C8" s="559"/>
      <c r="D8" s="560"/>
      <c r="E8" s="67"/>
      <c r="H8" s="10" t="s">
        <v>35</v>
      </c>
      <c r="I8" s="9">
        <f>SUMIF($C$6:$C$35,"Instruction: Professional Services", $E$6:$E$35)</f>
        <v>0</v>
      </c>
    </row>
    <row r="9" spans="1:13" ht="14.4" customHeight="1" x14ac:dyDescent="0.3">
      <c r="A9" s="131"/>
      <c r="B9" s="56"/>
      <c r="C9" s="555"/>
      <c r="D9" s="556"/>
      <c r="E9" s="68"/>
      <c r="H9" s="10" t="s">
        <v>36</v>
      </c>
      <c r="I9" s="9">
        <f>SUMIF($C$6:$C$35,"Instruction: Rentals", $E$6:$E$35)</f>
        <v>0</v>
      </c>
    </row>
    <row r="10" spans="1:13" ht="14.4" customHeight="1" x14ac:dyDescent="0.3">
      <c r="A10" s="132"/>
      <c r="B10" s="58"/>
      <c r="C10" s="559"/>
      <c r="D10" s="560"/>
      <c r="E10" s="67"/>
      <c r="H10" s="10" t="s">
        <v>37</v>
      </c>
      <c r="I10" s="9">
        <f>SUMIF($C$6:$C$35,"Instruction: Other Purchased Services", $E$6:$E$35)</f>
        <v>0</v>
      </c>
    </row>
    <row r="11" spans="1:13" ht="14.4" customHeight="1" x14ac:dyDescent="0.3">
      <c r="A11" s="131"/>
      <c r="B11" s="56"/>
      <c r="C11" s="555"/>
      <c r="D11" s="556"/>
      <c r="E11" s="68"/>
      <c r="H11" s="10" t="s">
        <v>38</v>
      </c>
      <c r="I11" s="9">
        <f>SUMIF($C$6:$C$35,"Instruction: General Supplies", $E$6:$E$35)</f>
        <v>0</v>
      </c>
    </row>
    <row r="12" spans="1:13" ht="14.4" customHeight="1" x14ac:dyDescent="0.3">
      <c r="A12" s="132"/>
      <c r="B12" s="58"/>
      <c r="C12" s="559"/>
      <c r="D12" s="560"/>
      <c r="E12" s="67"/>
      <c r="H12" s="10" t="s">
        <v>39</v>
      </c>
      <c r="I12" s="9">
        <f>SUMIF($C$6:$C$35,"Instruction: Property", $E$6:$E$35)</f>
        <v>0</v>
      </c>
    </row>
    <row r="13" spans="1:13" ht="14.4" customHeight="1" x14ac:dyDescent="0.3">
      <c r="A13" s="131"/>
      <c r="B13" s="56"/>
      <c r="C13" s="555"/>
      <c r="D13" s="556"/>
      <c r="E13" s="68"/>
      <c r="H13" s="10"/>
      <c r="I13" s="9"/>
    </row>
    <row r="14" spans="1:13" ht="14.4" customHeight="1" x14ac:dyDescent="0.3">
      <c r="A14" s="132"/>
      <c r="B14" s="58"/>
      <c r="C14" s="559"/>
      <c r="D14" s="560"/>
      <c r="E14" s="67"/>
      <c r="H14" s="8" t="s">
        <v>83</v>
      </c>
      <c r="I14" s="9">
        <f>SUMIF($C$6:$C$35,"Support Services (Student): Salary (Cert./Non Cert.)", $E$6:$E$35)</f>
        <v>0</v>
      </c>
    </row>
    <row r="15" spans="1:13" ht="14.4" customHeight="1" x14ac:dyDescent="0.3">
      <c r="A15" s="131"/>
      <c r="B15" s="56"/>
      <c r="C15" s="555"/>
      <c r="D15" s="556"/>
      <c r="E15" s="68"/>
      <c r="H15" s="8" t="s">
        <v>84</v>
      </c>
      <c r="I15" s="9">
        <f>SUMIF($C$6:$C$35,"Support Services (Student): Benefits (Cert./Non Cert.)", $E$6:$E$35)</f>
        <v>0</v>
      </c>
    </row>
    <row r="16" spans="1:13" x14ac:dyDescent="0.3">
      <c r="A16" s="132"/>
      <c r="B16" s="58"/>
      <c r="C16" s="559"/>
      <c r="D16" s="560"/>
      <c r="E16" s="67"/>
      <c r="H16" s="10" t="s">
        <v>40</v>
      </c>
      <c r="I16" s="9">
        <f>SUMIF($C$6:$C$35,"Support Services (Student): Professional Services", $E$6:$E$35)</f>
        <v>0</v>
      </c>
    </row>
    <row r="17" spans="1:9" x14ac:dyDescent="0.3">
      <c r="A17" s="131"/>
      <c r="B17" s="56"/>
      <c r="C17" s="555"/>
      <c r="D17" s="556"/>
      <c r="E17" s="68"/>
      <c r="H17" s="10" t="s">
        <v>41</v>
      </c>
      <c r="I17" s="9">
        <f>SUMIF($C$6:$C$35,"Support Services (Student): Rentals", $E$6:$E$35)</f>
        <v>0</v>
      </c>
    </row>
    <row r="18" spans="1:9" x14ac:dyDescent="0.3">
      <c r="A18" s="132"/>
      <c r="B18" s="58"/>
      <c r="C18" s="559"/>
      <c r="D18" s="560"/>
      <c r="E18" s="67"/>
      <c r="H18" s="10" t="s">
        <v>42</v>
      </c>
      <c r="I18" s="9">
        <f>SUMIF($C$6:$C$35,"Support Services (Student): Other Purchased Services", $E$6:$E$35)</f>
        <v>0</v>
      </c>
    </row>
    <row r="19" spans="1:9" x14ac:dyDescent="0.3">
      <c r="A19" s="131"/>
      <c r="B19" s="56"/>
      <c r="C19" s="555"/>
      <c r="D19" s="556"/>
      <c r="E19" s="68"/>
      <c r="H19" s="10" t="s">
        <v>43</v>
      </c>
      <c r="I19" s="9">
        <f>SUMIF($C$6:$C$35,"Support Services (Student): General Supplies", $E$6:$E$35)</f>
        <v>0</v>
      </c>
    </row>
    <row r="20" spans="1:9" x14ac:dyDescent="0.3">
      <c r="A20" s="132"/>
      <c r="B20" s="58"/>
      <c r="C20" s="559"/>
      <c r="D20" s="560"/>
      <c r="E20" s="67"/>
      <c r="H20" s="10" t="s">
        <v>44</v>
      </c>
      <c r="I20" s="9">
        <f>SUMIF($C$6:$C$35,"Support Services (Student): Property", $E$6:$E$35)</f>
        <v>0</v>
      </c>
    </row>
    <row r="21" spans="1:9" x14ac:dyDescent="0.3">
      <c r="A21" s="131"/>
      <c r="B21" s="56"/>
      <c r="C21" s="555"/>
      <c r="D21" s="556"/>
      <c r="E21" s="68"/>
      <c r="H21" s="10"/>
      <c r="I21" s="9"/>
    </row>
    <row r="22" spans="1:9" x14ac:dyDescent="0.3">
      <c r="A22" s="132"/>
      <c r="B22" s="58"/>
      <c r="C22" s="559"/>
      <c r="D22" s="560"/>
      <c r="E22" s="67"/>
      <c r="H22" s="8" t="s">
        <v>85</v>
      </c>
      <c r="I22" s="9">
        <f>SUMIF($C$6:$C$35,"Improvement of Instruction: Salary (Cert./Non Cert.)", $E$6:$E$35)</f>
        <v>0</v>
      </c>
    </row>
    <row r="23" spans="1:9" x14ac:dyDescent="0.3">
      <c r="A23" s="131"/>
      <c r="B23" s="56"/>
      <c r="C23" s="555"/>
      <c r="D23" s="556"/>
      <c r="E23" s="68"/>
      <c r="H23" s="8" t="s">
        <v>86</v>
      </c>
      <c r="I23" s="9">
        <f>SUMIF($C$6:$C$35,"Improvement of Instruction: Benefits (Cert./Non Cert.)", $E$6:$E$35)</f>
        <v>0</v>
      </c>
    </row>
    <row r="24" spans="1:9" x14ac:dyDescent="0.3">
      <c r="A24" s="132"/>
      <c r="B24" s="58"/>
      <c r="C24" s="559"/>
      <c r="D24" s="560"/>
      <c r="E24" s="67"/>
      <c r="H24" s="10" t="s">
        <v>45</v>
      </c>
      <c r="I24" s="9">
        <f>SUMIF($C$6:$C$35,"Improvement of Instruction: Professional Services", $E$6:$E$35)</f>
        <v>0</v>
      </c>
    </row>
    <row r="25" spans="1:9" x14ac:dyDescent="0.3">
      <c r="A25" s="131"/>
      <c r="B25" s="56"/>
      <c r="C25" s="555"/>
      <c r="D25" s="556"/>
      <c r="E25" s="68"/>
      <c r="H25" s="10" t="s">
        <v>46</v>
      </c>
      <c r="I25" s="9">
        <f>SUMIF($C$6:$C$35,"Improvement of Instruction: Rentals", $E$6:$E$35)</f>
        <v>0</v>
      </c>
    </row>
    <row r="26" spans="1:9" x14ac:dyDescent="0.3">
      <c r="A26" s="132"/>
      <c r="B26" s="58"/>
      <c r="C26" s="559"/>
      <c r="D26" s="560"/>
      <c r="E26" s="67"/>
      <c r="H26" s="10" t="s">
        <v>47</v>
      </c>
      <c r="I26" s="9">
        <f>SUMIF($C$6:$C$35,"Improvement of Instruction: Other Purchased Services", $E$6:$E$35)</f>
        <v>0</v>
      </c>
    </row>
    <row r="27" spans="1:9" x14ac:dyDescent="0.3">
      <c r="A27" s="131"/>
      <c r="B27" s="56"/>
      <c r="C27" s="555"/>
      <c r="D27" s="556"/>
      <c r="E27" s="68"/>
      <c r="H27" s="10" t="s">
        <v>48</v>
      </c>
      <c r="I27" s="9">
        <f>SUMIF($C$6:$C$35,"Improvement of Instruction: General Supplies", $E$6:$E$35)</f>
        <v>0</v>
      </c>
    </row>
    <row r="28" spans="1:9" x14ac:dyDescent="0.3">
      <c r="A28" s="132"/>
      <c r="B28" s="58"/>
      <c r="C28" s="559"/>
      <c r="D28" s="560"/>
      <c r="E28" s="67"/>
      <c r="H28" s="10" t="s">
        <v>49</v>
      </c>
      <c r="I28" s="9">
        <f>SUMIF($C$6:$C$35,"Improvement of Instruction: Property", $E$6:$E$35)</f>
        <v>0</v>
      </c>
    </row>
    <row r="29" spans="1:9" x14ac:dyDescent="0.3">
      <c r="A29" s="131"/>
      <c r="B29" s="56"/>
      <c r="C29" s="555"/>
      <c r="D29" s="556"/>
      <c r="E29" s="68"/>
      <c r="H29" s="10"/>
      <c r="I29" s="9"/>
    </row>
    <row r="30" spans="1:9" x14ac:dyDescent="0.3">
      <c r="A30" s="132"/>
      <c r="B30" s="58"/>
      <c r="C30" s="559"/>
      <c r="D30" s="560"/>
      <c r="E30" s="67"/>
      <c r="H30" s="8" t="s">
        <v>402</v>
      </c>
      <c r="I30" s="9">
        <f>SUMIF($C$6:$C$35,"Other Support Services-Admin: Salary (Cert./Non Cert.)", $E$6:$E$35)</f>
        <v>0</v>
      </c>
    </row>
    <row r="31" spans="1:9" x14ac:dyDescent="0.3">
      <c r="A31" s="131"/>
      <c r="B31" s="56"/>
      <c r="C31" s="555"/>
      <c r="D31" s="556"/>
      <c r="E31" s="68"/>
      <c r="H31" s="8" t="s">
        <v>403</v>
      </c>
      <c r="I31" s="9">
        <f>SUMIF($C$6:$C$35,"Other Support Services-Admin: Benefits (Cert./Non Cert.)", $E$6:$E$35)</f>
        <v>0</v>
      </c>
    </row>
    <row r="32" spans="1:9" x14ac:dyDescent="0.3">
      <c r="A32" s="132"/>
      <c r="B32" s="58"/>
      <c r="C32" s="559"/>
      <c r="D32" s="560"/>
      <c r="E32" s="67"/>
      <c r="H32" s="10" t="s">
        <v>404</v>
      </c>
      <c r="I32" s="9">
        <f>SUMIF($C$6:$C$35,"Other Support Services-Admin: Professional Services", $E$6:$E$35)</f>
        <v>0</v>
      </c>
    </row>
    <row r="33" spans="1:9" x14ac:dyDescent="0.3">
      <c r="A33" s="131"/>
      <c r="B33" s="56"/>
      <c r="C33" s="555"/>
      <c r="D33" s="556"/>
      <c r="E33" s="68"/>
      <c r="H33" s="10" t="s">
        <v>405</v>
      </c>
      <c r="I33" s="9">
        <f>SUMIF($C$6:$C$35,"Other Support Services-Admin: Rentals", $E$6:$E$35)</f>
        <v>0</v>
      </c>
    </row>
    <row r="34" spans="1:9" x14ac:dyDescent="0.3">
      <c r="A34" s="132"/>
      <c r="B34" s="58"/>
      <c r="C34" s="559"/>
      <c r="D34" s="560"/>
      <c r="E34" s="67"/>
      <c r="H34" s="10" t="s">
        <v>406</v>
      </c>
      <c r="I34" s="9">
        <f>SUMIF($C$6:$C$35,"Other Support Services-Admin: Other Purchased Services", $E$6:$E$35)</f>
        <v>0</v>
      </c>
    </row>
    <row r="35" spans="1:9" ht="15" thickBot="1" x14ac:dyDescent="0.35">
      <c r="A35" s="131"/>
      <c r="B35" s="56"/>
      <c r="C35" s="555"/>
      <c r="D35" s="556"/>
      <c r="E35" s="68"/>
      <c r="H35" s="10" t="s">
        <v>407</v>
      </c>
      <c r="I35" s="9">
        <f>SUMIF($C$6:$C$35,"Other Support Services-Admin: General Supplies", $E$6:$E$35)</f>
        <v>0</v>
      </c>
    </row>
    <row r="36" spans="1:9" ht="14.4" customHeight="1" thickTop="1" x14ac:dyDescent="0.35">
      <c r="A36" s="49"/>
      <c r="B36" s="50"/>
      <c r="C36" s="51"/>
      <c r="D36" s="52" t="s">
        <v>77</v>
      </c>
      <c r="E36" s="163">
        <f>SUM(E6:E35)</f>
        <v>0</v>
      </c>
      <c r="H36" s="10" t="s">
        <v>408</v>
      </c>
      <c r="I36" s="9">
        <f>SUMIF($C$6:$C$35,"Other Support Services-Admin: Property", $E$6:$E$35)</f>
        <v>0</v>
      </c>
    </row>
    <row r="37" spans="1:9" ht="14.4" customHeight="1" x14ac:dyDescent="0.3">
      <c r="A37" s="14"/>
      <c r="B37" s="53"/>
      <c r="C37" s="561" t="s">
        <v>93</v>
      </c>
      <c r="D37" s="562"/>
      <c r="E37" s="164" t="str">
        <f>'Amend#3 Overview'!G14</f>
        <v/>
      </c>
      <c r="H37" s="10"/>
      <c r="I37" s="9"/>
    </row>
    <row r="38" spans="1:9" x14ac:dyDescent="0.3">
      <c r="A38" s="14"/>
      <c r="B38" s="53"/>
      <c r="C38" s="563" t="s">
        <v>400</v>
      </c>
      <c r="D38" s="564"/>
      <c r="E38" s="54" t="str">
        <f>IFERROR(E37-E36,"")</f>
        <v/>
      </c>
      <c r="H38" s="8" t="s">
        <v>87</v>
      </c>
      <c r="I38" s="9">
        <f>SUMIF($C$6:$C$35,"Operations and Maintenance: Salary (Cert./Non Cert.)", $E$6:$E$35)</f>
        <v>0</v>
      </c>
    </row>
    <row r="39" spans="1:9" x14ac:dyDescent="0.3">
      <c r="H39" s="8" t="s">
        <v>88</v>
      </c>
      <c r="I39" s="9">
        <f>SUMIF($C$6:$C$35,"Operations and Maintenance: Benefits (Cert./Non Cert.)", $E$6:$E$35)</f>
        <v>0</v>
      </c>
    </row>
    <row r="40" spans="1:9" x14ac:dyDescent="0.3">
      <c r="H40" s="10" t="s">
        <v>50</v>
      </c>
      <c r="I40" s="9">
        <f>SUMIF($C$6:$C$35,"Operations and Maintenance: Professional Services", $E$6:$E$35)</f>
        <v>0</v>
      </c>
    </row>
    <row r="41" spans="1:9" x14ac:dyDescent="0.3">
      <c r="H41" s="10" t="s">
        <v>51</v>
      </c>
      <c r="I41" s="9">
        <f>SUMIF($C$6:$C$35,"Operations and Maintenance: Rentals", $E$6:$E$35)</f>
        <v>0</v>
      </c>
    </row>
    <row r="42" spans="1:9" x14ac:dyDescent="0.3">
      <c r="H42" s="10" t="s">
        <v>52</v>
      </c>
      <c r="I42" s="9">
        <f>SUMIF($C$6:$C$35,"Operations and Maintenance: Other Purchased Services", $E$6:$E$35)</f>
        <v>0</v>
      </c>
    </row>
    <row r="43" spans="1:9" x14ac:dyDescent="0.3">
      <c r="H43" s="10" t="s">
        <v>53</v>
      </c>
      <c r="I43" s="9">
        <f>SUMIF($C$6:$C$35,"Operations and Maintenance: General Supplies", $E$6:$E$35)</f>
        <v>0</v>
      </c>
    </row>
    <row r="44" spans="1:9" x14ac:dyDescent="0.3">
      <c r="H44" s="10" t="s">
        <v>54</v>
      </c>
      <c r="I44" s="9">
        <f>SUMIF($C$6:$C$35,"Operations and Maintenance: Property", $E$6:$E$35)</f>
        <v>0</v>
      </c>
    </row>
    <row r="45" spans="1:9" x14ac:dyDescent="0.3">
      <c r="H45" s="10"/>
      <c r="I45" s="9"/>
    </row>
    <row r="46" spans="1:9" x14ac:dyDescent="0.3">
      <c r="H46" s="8" t="s">
        <v>89</v>
      </c>
      <c r="I46" s="9">
        <f>SUMIF($C$6:$C$35,"Transportation: Salary (Cert./Non Cert.)", $E$6:$E$35)</f>
        <v>0</v>
      </c>
    </row>
    <row r="47" spans="1:9" x14ac:dyDescent="0.3">
      <c r="H47" s="8" t="s">
        <v>90</v>
      </c>
      <c r="I47" s="9">
        <f>SUMIF($C$6:$C$35,"Transportation: Benefits (Cert./Non Cert.)", $E$6:$E$35)</f>
        <v>0</v>
      </c>
    </row>
    <row r="48" spans="1:9" x14ac:dyDescent="0.3">
      <c r="H48" s="10" t="s">
        <v>55</v>
      </c>
      <c r="I48" s="9">
        <f>SUMIF($C$6:$C$35,"Transportation: Professional Services", $E$6:$E$35)</f>
        <v>0</v>
      </c>
    </row>
    <row r="49" spans="8:9" x14ac:dyDescent="0.3">
      <c r="H49" s="10" t="s">
        <v>56</v>
      </c>
      <c r="I49" s="9">
        <f>SUMIF($C$6:$C$35,"Transportation: Rentals", $E$6:$E$35)</f>
        <v>0</v>
      </c>
    </row>
    <row r="50" spans="8:9" x14ac:dyDescent="0.3">
      <c r="H50" s="10" t="s">
        <v>57</v>
      </c>
      <c r="I50" s="9">
        <f>SUMIF($C$6:$C$35,"Transportation: Other Purchased Services", $E$6:$E$35)</f>
        <v>0</v>
      </c>
    </row>
    <row r="51" spans="8:9" x14ac:dyDescent="0.3">
      <c r="H51" s="10" t="s">
        <v>58</v>
      </c>
      <c r="I51" s="9">
        <f>SUMIF($C$6:$C$35,"Transportation: General Supplies", $E$6:$E$35)</f>
        <v>0</v>
      </c>
    </row>
    <row r="52" spans="8:9" x14ac:dyDescent="0.3">
      <c r="H52" s="10" t="s">
        <v>59</v>
      </c>
      <c r="I52" s="9">
        <f>SUMIF($C$6:$C$35,"Transportation: Property", $E$6:$E$35)</f>
        <v>0</v>
      </c>
    </row>
    <row r="53" spans="8:9" x14ac:dyDescent="0.3">
      <c r="H53" s="10"/>
      <c r="I53" s="9"/>
    </row>
    <row r="54" spans="8:9" x14ac:dyDescent="0.3">
      <c r="H54" s="8" t="s">
        <v>91</v>
      </c>
      <c r="I54" s="9">
        <f>SUMIF($C$6:$C$35,"Community Services Operations: Salary (Cert./Non Cert.)", $E$6:$E$35)</f>
        <v>0</v>
      </c>
    </row>
    <row r="55" spans="8:9" x14ac:dyDescent="0.3">
      <c r="H55" s="8" t="s">
        <v>92</v>
      </c>
      <c r="I55" s="9">
        <f>SUMIF($C$6:$C$35,"Community Services Operations: Benefits (Cert./Non Cert.)", $E$6:$E$35)</f>
        <v>0</v>
      </c>
    </row>
    <row r="56" spans="8:9" x14ac:dyDescent="0.3">
      <c r="H56" s="10" t="s">
        <v>60</v>
      </c>
      <c r="I56" s="9">
        <f>SUMIF($C$6:$C$35,"Community Services Operations: Professional Services", $E$6:$E$35)</f>
        <v>0</v>
      </c>
    </row>
    <row r="57" spans="8:9" x14ac:dyDescent="0.3">
      <c r="H57" s="10" t="s">
        <v>61</v>
      </c>
      <c r="I57" s="9">
        <f>SUMIF($C$6:$C$35,"Community Services Operations: Rentals", $E$6:$E$35)</f>
        <v>0</v>
      </c>
    </row>
    <row r="58" spans="8:9" x14ac:dyDescent="0.3">
      <c r="H58" s="10" t="s">
        <v>62</v>
      </c>
      <c r="I58" s="9">
        <f>SUMIF($C$6:$C$35,"Community Services Operations: Other Purchased Services", $E$6:$E$35)</f>
        <v>0</v>
      </c>
    </row>
    <row r="59" spans="8:9" x14ac:dyDescent="0.3">
      <c r="H59" s="10" t="s">
        <v>63</v>
      </c>
      <c r="I59" s="9">
        <f>SUMIF($C$6:$C$35,"Community Services Operations: General Supplies", $E$6:$E$35)</f>
        <v>0</v>
      </c>
    </row>
    <row r="60" spans="8:9" x14ac:dyDescent="0.3">
      <c r="H60" s="10" t="s">
        <v>64</v>
      </c>
      <c r="I60" s="9">
        <f>SUMIF($C$6:$C$35,"Community Services Operations: Property", $E$6:$E$35)</f>
        <v>0</v>
      </c>
    </row>
    <row r="61" spans="8:9" x14ac:dyDescent="0.3">
      <c r="H61" s="10"/>
      <c r="I61" s="9"/>
    </row>
    <row r="62" spans="8:9" x14ac:dyDescent="0.3">
      <c r="H62" s="11" t="s">
        <v>65</v>
      </c>
      <c r="I62" s="9">
        <f>SUMIF($C$6:$C$35,"Indirect Cost Used", $E$6:$E$35)</f>
        <v>0</v>
      </c>
    </row>
    <row r="63" spans="8:9" x14ac:dyDescent="0.3">
      <c r="H63" s="184"/>
      <c r="I63" s="185"/>
    </row>
    <row r="64" spans="8:9" ht="15.6" x14ac:dyDescent="0.3">
      <c r="H64" s="165" t="s">
        <v>71</v>
      </c>
      <c r="I64" s="54">
        <f>((SUM(I6:I62))-I63)</f>
        <v>0</v>
      </c>
    </row>
    <row r="74" ht="14.4" customHeight="1" x14ac:dyDescent="0.3"/>
  </sheetData>
  <sheetProtection algorithmName="SHA-512" hashValue="iiuDcdzpa98K/h9xBK6hkNPHgBLlq7xQHUz40XExnYBQ/xFcQAqkRZxr2NwQPteJ25YBfYgyAm/EMHbPR4rmDQ==" saltValue="CYSPa66s8qivQV0CRN2Fuw==" spinCount="100000" sheet="1" objects="1" scenarios="1" selectLockedCells="1"/>
  <mergeCells count="35">
    <mergeCell ref="C27:D27"/>
    <mergeCell ref="C28:D28"/>
    <mergeCell ref="C29:D29"/>
    <mergeCell ref="C35:D35"/>
    <mergeCell ref="C30:D30"/>
    <mergeCell ref="C31:D31"/>
    <mergeCell ref="C32:D32"/>
    <mergeCell ref="C33:D33"/>
    <mergeCell ref="C34:D34"/>
    <mergeCell ref="C22:D22"/>
    <mergeCell ref="C23:D23"/>
    <mergeCell ref="C24:D24"/>
    <mergeCell ref="C25:D25"/>
    <mergeCell ref="C26:D26"/>
    <mergeCell ref="A1:I1"/>
    <mergeCell ref="A2:I3"/>
    <mergeCell ref="C5:D5"/>
    <mergeCell ref="C6:D6"/>
    <mergeCell ref="C7:D7"/>
    <mergeCell ref="C37:D37"/>
    <mergeCell ref="C38:D38"/>
    <mergeCell ref="C13:D13"/>
    <mergeCell ref="C14:D14"/>
    <mergeCell ref="C8:D8"/>
    <mergeCell ref="C9:D9"/>
    <mergeCell ref="C10:D10"/>
    <mergeCell ref="C11:D11"/>
    <mergeCell ref="C12:D12"/>
    <mergeCell ref="C15:D15"/>
    <mergeCell ref="C16:D16"/>
    <mergeCell ref="C17:D17"/>
    <mergeCell ref="C18:D18"/>
    <mergeCell ref="C19:D19"/>
    <mergeCell ref="C20:D20"/>
    <mergeCell ref="C21:D21"/>
  </mergeCells>
  <conditionalFormatting sqref="H6:I63">
    <cfRule type="expression" dxfId="62" priority="10">
      <formula>MOD(ROW(),2)=0</formula>
    </cfRule>
  </conditionalFormatting>
  <conditionalFormatting sqref="E36">
    <cfRule type="cellIs" dxfId="61" priority="1" operator="lessThan">
      <formula>$E$37</formula>
    </cfRule>
    <cfRule type="cellIs" dxfId="60" priority="2" operator="greaterThan">
      <formula>$E$37</formula>
    </cfRule>
    <cfRule type="cellIs" dxfId="59" priority="3" operator="equal">
      <formula>$E$37</formula>
    </cfRule>
  </conditionalFormatting>
  <dataValidations count="3">
    <dataValidation type="list" allowBlank="1" showInputMessage="1" showErrorMessage="1" promptTitle="Select Budget Category" sqref="C6:C35" xr:uid="{D18A0BE9-32A9-4F70-BF28-2E9B9E560A9E}">
      <formula1>$H$6:$H$63</formula1>
    </dataValidation>
    <dataValidation type="list" allowBlank="1" showInputMessage="1" showErrorMessage="1" promptTitle="Select Budget Category" sqref="C5" xr:uid="{80124F68-160D-48F2-AC3A-48A891F32FE1}">
      <formula1>$H$6:$H$62</formula1>
    </dataValidation>
    <dataValidation type="list" allowBlank="1" showInputMessage="1" showErrorMessage="1" sqref="B6:B35" xr:uid="{D5A1DEAF-B0DA-45AE-AAA7-8ED7C8235CE3}">
      <formula1>"1,2,3, Indirect Cost, Admin"</formula1>
    </dataValidation>
  </dataValidations>
  <hyperlinks>
    <hyperlink ref="C4" location="'Budget Category'!A1" display="Budget Category" xr:uid="{76308D62-E140-4DB5-9E86-2014834E3561}"/>
  </hyperlinks>
  <pageMargins left="0.7" right="0.7" top="0.75" bottom="0.75" header="0.3" footer="0.3"/>
  <pageSetup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0B6F8-3FD2-41BB-AC6D-91A8B6825B7B}">
  <sheetPr codeName="Sheet26">
    <tabColor rgb="FFFF7C80"/>
  </sheetPr>
  <dimension ref="A1:N30"/>
  <sheetViews>
    <sheetView showGridLines="0" topLeftCell="A5" workbookViewId="0">
      <selection activeCell="C4" sqref="C4:D4"/>
    </sheetView>
  </sheetViews>
  <sheetFormatPr defaultColWidth="8.88671875" defaultRowHeight="14.4" x14ac:dyDescent="0.3"/>
  <cols>
    <col min="1" max="1" width="17.44140625" style="78" customWidth="1"/>
    <col min="2" max="2" width="23.88671875" style="78" customWidth="1"/>
    <col min="3" max="3" width="4.6640625" style="78" customWidth="1"/>
    <col min="4" max="4" width="11.88671875" style="78" customWidth="1"/>
    <col min="5" max="5" width="12.33203125" style="78" customWidth="1"/>
    <col min="6" max="6" width="4.88671875" style="78" customWidth="1"/>
    <col min="7" max="7" width="15.88671875" style="78" customWidth="1"/>
    <col min="8" max="8" width="11.88671875" style="78" customWidth="1"/>
    <col min="9" max="9" width="12.109375" style="78" customWidth="1"/>
    <col min="10" max="10" width="11.44140625" style="78" customWidth="1"/>
    <col min="11" max="11" width="12.5546875" style="78" customWidth="1"/>
    <col min="12" max="12" width="14" style="78" customWidth="1"/>
    <col min="13" max="13" width="15" style="78" customWidth="1"/>
    <col min="14" max="16384" width="8.88671875" style="78"/>
  </cols>
  <sheetData>
    <row r="1" spans="1:13" ht="43.2" customHeight="1" x14ac:dyDescent="0.3">
      <c r="A1" s="762" t="s">
        <v>427</v>
      </c>
      <c r="B1" s="762"/>
      <c r="C1" s="762"/>
      <c r="D1" s="762"/>
      <c r="E1" s="762"/>
      <c r="F1" s="762"/>
      <c r="G1" s="762"/>
      <c r="H1" s="762"/>
      <c r="I1" s="762"/>
      <c r="J1" s="762"/>
      <c r="K1" s="762"/>
      <c r="L1" s="762"/>
      <c r="M1" s="762"/>
    </row>
    <row r="2" spans="1:13" ht="15" customHeight="1" x14ac:dyDescent="0.3">
      <c r="A2" s="565" t="s">
        <v>0</v>
      </c>
      <c r="B2" s="565"/>
      <c r="C2" s="565"/>
      <c r="D2" s="565"/>
      <c r="E2" s="565"/>
      <c r="F2" s="565"/>
      <c r="G2" s="565"/>
      <c r="H2" s="565"/>
      <c r="I2" s="565"/>
      <c r="J2" s="565"/>
      <c r="K2" s="565"/>
      <c r="L2" s="565"/>
      <c r="M2" s="565"/>
    </row>
    <row r="3" spans="1:13" x14ac:dyDescent="0.3">
      <c r="A3" s="566" t="s">
        <v>70</v>
      </c>
      <c r="B3" s="566"/>
      <c r="C3" s="572">
        <v>110</v>
      </c>
      <c r="D3" s="573"/>
      <c r="E3" s="572" t="s">
        <v>1</v>
      </c>
      <c r="F3" s="573"/>
      <c r="G3" s="79" t="s">
        <v>2</v>
      </c>
      <c r="H3" s="79">
        <v>440</v>
      </c>
      <c r="I3" s="79" t="s">
        <v>3</v>
      </c>
      <c r="J3" s="79" t="s">
        <v>4</v>
      </c>
      <c r="K3" s="79" t="s">
        <v>5</v>
      </c>
      <c r="L3" s="79">
        <v>910</v>
      </c>
      <c r="M3" s="233"/>
    </row>
    <row r="4" spans="1:13" ht="14.4" customHeight="1" x14ac:dyDescent="0.3">
      <c r="A4" s="567" t="s">
        <v>6</v>
      </c>
      <c r="B4" s="568" t="s">
        <v>7</v>
      </c>
      <c r="C4" s="569" t="s">
        <v>8</v>
      </c>
      <c r="D4" s="569"/>
      <c r="E4" s="569" t="s">
        <v>9</v>
      </c>
      <c r="F4" s="569"/>
      <c r="G4" s="570" t="s">
        <v>10</v>
      </c>
      <c r="H4" s="570" t="s">
        <v>11</v>
      </c>
      <c r="I4" s="570" t="s">
        <v>12</v>
      </c>
      <c r="J4" s="570" t="s">
        <v>13</v>
      </c>
      <c r="K4" s="570" t="s">
        <v>14</v>
      </c>
      <c r="L4" s="570" t="s">
        <v>15</v>
      </c>
      <c r="M4" s="571" t="s">
        <v>16</v>
      </c>
    </row>
    <row r="5" spans="1:13" ht="27" customHeight="1" x14ac:dyDescent="0.3">
      <c r="A5" s="567"/>
      <c r="B5" s="568"/>
      <c r="C5" s="574" t="s">
        <v>79</v>
      </c>
      <c r="D5" s="575"/>
      <c r="E5" s="574" t="s">
        <v>80</v>
      </c>
      <c r="F5" s="575"/>
      <c r="G5" s="570"/>
      <c r="H5" s="570"/>
      <c r="I5" s="570"/>
      <c r="J5" s="570"/>
      <c r="K5" s="570"/>
      <c r="L5" s="570"/>
      <c r="M5" s="571"/>
    </row>
    <row r="6" spans="1:13" x14ac:dyDescent="0.3">
      <c r="A6" s="81">
        <v>11000</v>
      </c>
      <c r="B6" s="81" t="s">
        <v>17</v>
      </c>
      <c r="C6" s="751">
        <f>'Amend#3 LEA Activities'!I6+'Amend#3 NPS Activities'!H6</f>
        <v>0</v>
      </c>
      <c r="D6" s="752"/>
      <c r="E6" s="751">
        <f>'Amend#3 LEA Activities'!I7+'Amend#3 NPS Activities'!H7</f>
        <v>0</v>
      </c>
      <c r="F6" s="752"/>
      <c r="G6" s="244">
        <f>'Amend#3 LEA Activities'!I8+'Amend#3 NPS Activities'!H8</f>
        <v>0</v>
      </c>
      <c r="H6" s="244">
        <f>'Amend#3 LEA Activities'!I9+'Amend#3 NPS Activities'!H9</f>
        <v>0</v>
      </c>
      <c r="I6" s="244">
        <f>'Amend#3 LEA Activities'!I10+'Amend#3 NPS Activities'!H10</f>
        <v>0</v>
      </c>
      <c r="J6" s="244">
        <f>'Amend#3 LEA Activities'!I11+'Amend#3 NPS Activities'!H11</f>
        <v>0</v>
      </c>
      <c r="K6" s="244">
        <f>'Amend#3 LEA Activities'!I12+'Amend#3 NPS Activities'!H12</f>
        <v>0</v>
      </c>
      <c r="L6" s="244">
        <f>'Amend#3 LEA Activities'!I13+'Amend#3 NPS Activities'!H13</f>
        <v>0</v>
      </c>
      <c r="M6" s="244">
        <f t="shared" ref="M6:M13" si="0">SUM(C6:L6)</f>
        <v>0</v>
      </c>
    </row>
    <row r="7" spans="1:13" x14ac:dyDescent="0.3">
      <c r="A7" s="81">
        <v>21000</v>
      </c>
      <c r="B7" s="81" t="s">
        <v>18</v>
      </c>
      <c r="C7" s="578">
        <f>'Amend#3 LEA Activities'!I14+'Amend#3 NPS Activities'!H14</f>
        <v>0</v>
      </c>
      <c r="D7" s="579"/>
      <c r="E7" s="578">
        <f>'Amend#3 LEA Activities'!I15+'Amend#3 NPS Activities'!H15</f>
        <v>0</v>
      </c>
      <c r="F7" s="579"/>
      <c r="G7" s="82">
        <f>'Amend#3 LEA Activities'!I16+'Amend#3 NPS Activities'!H16</f>
        <v>0</v>
      </c>
      <c r="H7" s="82">
        <f>'Amend#3 LEA Activities'!I17+'Amend#3 NPS Activities'!H17</f>
        <v>0</v>
      </c>
      <c r="I7" s="82">
        <f>'Amend#3 LEA Activities'!I18+'Amend#3 NPS Activities'!H18</f>
        <v>0</v>
      </c>
      <c r="J7" s="82">
        <f>'Amend#3 LEA Activities'!I19+'Amend#3 NPS Activities'!H19</f>
        <v>0</v>
      </c>
      <c r="K7" s="82">
        <f>'Amend#3 LEA Activities'!I20+'Amend#3 NPS Activities'!H20</f>
        <v>0</v>
      </c>
      <c r="L7" s="82">
        <f>'Amend#3 LEA Activities'!I21+'Amend#3 NPS Activities'!H21</f>
        <v>0</v>
      </c>
      <c r="M7" s="82">
        <f t="shared" si="0"/>
        <v>0</v>
      </c>
    </row>
    <row r="8" spans="1:13" x14ac:dyDescent="0.3">
      <c r="A8" s="81">
        <v>22100</v>
      </c>
      <c r="B8" s="81" t="s">
        <v>2066</v>
      </c>
      <c r="C8" s="751">
        <f>'Amend#3 LEA Activities'!I22+'Amend#3 NPS Activities'!H22</f>
        <v>0</v>
      </c>
      <c r="D8" s="752"/>
      <c r="E8" s="751">
        <f>'Amend#3 LEA Activities'!I23+'Amend#3 NPS Activities'!H23</f>
        <v>0</v>
      </c>
      <c r="F8" s="752"/>
      <c r="G8" s="244">
        <f>'Amend#3 LEA Activities'!I24+'Amend#3 NPS Activities'!H24</f>
        <v>0</v>
      </c>
      <c r="H8" s="244">
        <f>'Amend#3 LEA Activities'!I25+'Amend#3 NPS Activities'!H25</f>
        <v>0</v>
      </c>
      <c r="I8" s="244">
        <f>'Amend#3 LEA Activities'!I26+'Amend#3 NPS Activities'!H26</f>
        <v>0</v>
      </c>
      <c r="J8" s="244">
        <f>'Amend#3 LEA Activities'!I27+'Amend#3 NPS Activities'!H27</f>
        <v>0</v>
      </c>
      <c r="K8" s="244">
        <f>'Amend#3 LEA Activities'!I28+'Amend#3 NPS Activities'!H28</f>
        <v>0</v>
      </c>
      <c r="L8" s="244">
        <f>'Amend#3 LEA Activities'!I29+'Amend#3 NPS Activities'!H29</f>
        <v>0</v>
      </c>
      <c r="M8" s="244">
        <f t="shared" si="0"/>
        <v>0</v>
      </c>
    </row>
    <row r="9" spans="1:13" ht="27.6" x14ac:dyDescent="0.3">
      <c r="A9" s="83">
        <v>22900</v>
      </c>
      <c r="B9" s="81" t="s">
        <v>28</v>
      </c>
      <c r="C9" s="578">
        <f>'Amend#3 LEA Activities'!I30+'Amend#3 NPS Activities'!H30</f>
        <v>0</v>
      </c>
      <c r="D9" s="579"/>
      <c r="E9" s="578">
        <f>'Amend#3 LEA Activities'!I31+'Amend#3 NPS Activities'!H31</f>
        <v>0</v>
      </c>
      <c r="F9" s="579"/>
      <c r="G9" s="82">
        <f>'Amend#3 LEA Activities'!I32+'Amend#3 NPS Activities'!H32</f>
        <v>0</v>
      </c>
      <c r="H9" s="82">
        <f>'Amend#3 LEA Activities'!I33+'Amend#3 NPS Activities'!H33</f>
        <v>0</v>
      </c>
      <c r="I9" s="82">
        <f>'Amend#3 LEA Activities'!I34+'Amend#3 NPS Activities'!H34</f>
        <v>0</v>
      </c>
      <c r="J9" s="82">
        <f>'Amend#3 LEA Activities'!I35+'Amend#3 NPS Activities'!H35</f>
        <v>0</v>
      </c>
      <c r="K9" s="82">
        <f>'Amend#3 LEA Activities'!I36+'Amend#3 NPS Activities'!H36</f>
        <v>0</v>
      </c>
      <c r="L9" s="82">
        <f>'Amend#3 LEA Activities'!I37+'Amend#3 NPS Activities'!H37</f>
        <v>0</v>
      </c>
      <c r="M9" s="82">
        <f t="shared" si="0"/>
        <v>0</v>
      </c>
    </row>
    <row r="10" spans="1:13" x14ac:dyDescent="0.3">
      <c r="A10" s="83">
        <v>25191</v>
      </c>
      <c r="B10" s="81" t="s">
        <v>19</v>
      </c>
      <c r="C10" s="751"/>
      <c r="D10" s="752"/>
      <c r="E10" s="751"/>
      <c r="F10" s="752"/>
      <c r="G10" s="244"/>
      <c r="H10" s="244"/>
      <c r="I10" s="244"/>
      <c r="J10" s="244"/>
      <c r="K10" s="244"/>
      <c r="L10" s="244"/>
      <c r="M10" s="244">
        <f t="shared" si="0"/>
        <v>0</v>
      </c>
    </row>
    <row r="11" spans="1:13" x14ac:dyDescent="0.3">
      <c r="A11" s="83">
        <v>26000</v>
      </c>
      <c r="B11" s="81" t="s">
        <v>20</v>
      </c>
      <c r="C11" s="578">
        <f>'Amend#3 LEA Activities'!I38+'Amend#3 NPS Activities'!H38</f>
        <v>0</v>
      </c>
      <c r="D11" s="579"/>
      <c r="E11" s="578">
        <f>'Amend#3 LEA Activities'!I39+'Amend#3 NPS Activities'!H39</f>
        <v>0</v>
      </c>
      <c r="F11" s="579"/>
      <c r="G11" s="82">
        <f>'Amend#3 LEA Activities'!I40+'Amend#3 NPS Activities'!H40</f>
        <v>0</v>
      </c>
      <c r="H11" s="82">
        <f>'Amend#3 LEA Activities'!I41+'Amend#3 NPS Activities'!H41</f>
        <v>0</v>
      </c>
      <c r="I11" s="82">
        <f>'Amend#3 LEA Activities'!I42+'Amend#3 NPS Activities'!H42</f>
        <v>0</v>
      </c>
      <c r="J11" s="82">
        <f>'Amend#3 LEA Activities'!I43+'Amend#3 NPS Activities'!H43</f>
        <v>0</v>
      </c>
      <c r="K11" s="82">
        <f>'Amend#3 LEA Activities'!I44+'Amend#3 NPS Activities'!H44</f>
        <v>0</v>
      </c>
      <c r="L11" s="82">
        <f>'Amend#3 LEA Activities'!I45+'Amend#3 NPS Activities'!H45</f>
        <v>0</v>
      </c>
      <c r="M11" s="82">
        <f t="shared" si="0"/>
        <v>0</v>
      </c>
    </row>
    <row r="12" spans="1:13" x14ac:dyDescent="0.3">
      <c r="A12" s="81">
        <v>27000</v>
      </c>
      <c r="B12" s="81" t="s">
        <v>21</v>
      </c>
      <c r="C12" s="751">
        <f>'Amend#3 LEA Activities'!I46+'Amend#3 NPS Activities'!H46</f>
        <v>0</v>
      </c>
      <c r="D12" s="752"/>
      <c r="E12" s="751">
        <f>'Amend#3 LEA Activities'!I47+'Amend#3 NPS Activities'!H47</f>
        <v>0</v>
      </c>
      <c r="F12" s="752"/>
      <c r="G12" s="244">
        <f>'Amend#3 LEA Activities'!I48+'Amend#3 NPS Activities'!H48</f>
        <v>0</v>
      </c>
      <c r="H12" s="244">
        <f>'Amend#3 LEA Activities'!I49+'Amend#3 NPS Activities'!H49</f>
        <v>0</v>
      </c>
      <c r="I12" s="244">
        <f>'Amend#3 LEA Activities'!I50+'Amend#3 NPS Activities'!H50</f>
        <v>0</v>
      </c>
      <c r="J12" s="244">
        <f>'Amend#3 LEA Activities'!I51+'Amend#3 NPS Activities'!H51</f>
        <v>0</v>
      </c>
      <c r="K12" s="244">
        <f>'Amend#3 LEA Activities'!I52+'Amend#3 NPS Activities'!H52</f>
        <v>0</v>
      </c>
      <c r="L12" s="244">
        <f>'Amend#3 LEA Activities'!I53+'Amend#3 NPS Activities'!H53</f>
        <v>0</v>
      </c>
      <c r="M12" s="244">
        <f t="shared" si="0"/>
        <v>0</v>
      </c>
    </row>
    <row r="13" spans="1:13" ht="27.6" x14ac:dyDescent="0.3">
      <c r="A13" s="81">
        <v>33000</v>
      </c>
      <c r="B13" s="81" t="s">
        <v>22</v>
      </c>
      <c r="C13" s="578">
        <f>'Amend#3 LEA Activities'!I54+'Amend#3 NPS Activities'!H54</f>
        <v>0</v>
      </c>
      <c r="D13" s="579"/>
      <c r="E13" s="578">
        <f>'Amend#3 LEA Activities'!I55+'Amend#3 NPS Activities'!H55</f>
        <v>0</v>
      </c>
      <c r="F13" s="579"/>
      <c r="G13" s="82">
        <f>'Amend#3 LEA Activities'!I56+'Amend#3 NPS Activities'!H56</f>
        <v>0</v>
      </c>
      <c r="H13" s="82">
        <f>'Amend#3 LEA Activities'!I57+'Amend#3 NPS Activities'!H57</f>
        <v>0</v>
      </c>
      <c r="I13" s="82">
        <f>'Amend#3 LEA Activities'!I58+'Amend#3 NPS Activities'!H58</f>
        <v>0</v>
      </c>
      <c r="J13" s="82">
        <f>'Amend#3 LEA Activities'!I59+'Amend#3 NPS Activities'!H59</f>
        <v>0</v>
      </c>
      <c r="K13" s="82">
        <f>'Amend#3 LEA Activities'!I60+'Amend#3 NPS Activities'!H60</f>
        <v>0</v>
      </c>
      <c r="L13" s="82">
        <f>'Amend#3 LEA Activities'!I61+'Amend#3 NPS Activities'!H61</f>
        <v>0</v>
      </c>
      <c r="M13" s="82">
        <f t="shared" si="0"/>
        <v>0</v>
      </c>
    </row>
    <row r="14" spans="1:13" x14ac:dyDescent="0.3">
      <c r="A14" s="192"/>
      <c r="B14" s="192"/>
      <c r="C14" s="731"/>
      <c r="D14" s="732"/>
      <c r="E14" s="731"/>
      <c r="F14" s="732"/>
      <c r="G14" s="193"/>
      <c r="H14" s="193"/>
      <c r="I14" s="193"/>
      <c r="J14" s="193"/>
      <c r="K14" s="193"/>
      <c r="L14" s="194"/>
      <c r="M14" s="194"/>
    </row>
    <row r="15" spans="1:13" x14ac:dyDescent="0.3">
      <c r="A15" s="233"/>
      <c r="B15" s="85" t="s">
        <v>23</v>
      </c>
      <c r="C15" s="578">
        <f t="shared" ref="C15:L15" si="1">SUM(C6:C14)</f>
        <v>0</v>
      </c>
      <c r="D15" s="579"/>
      <c r="E15" s="578">
        <f t="shared" si="1"/>
        <v>0</v>
      </c>
      <c r="F15" s="579"/>
      <c r="G15" s="82">
        <f>SUM(G6:G14)</f>
        <v>0</v>
      </c>
      <c r="H15" s="82">
        <f>SUM(H6:H14)</f>
        <v>0</v>
      </c>
      <c r="I15" s="82">
        <f>SUM(I6:I14)</f>
        <v>0</v>
      </c>
      <c r="J15" s="82">
        <f t="shared" si="1"/>
        <v>0</v>
      </c>
      <c r="K15" s="82">
        <f t="shared" si="1"/>
        <v>0</v>
      </c>
      <c r="L15" s="82">
        <f t="shared" si="1"/>
        <v>0</v>
      </c>
      <c r="M15" s="86">
        <f>((SUM(M6:M14)-L15))</f>
        <v>0</v>
      </c>
    </row>
    <row r="16" spans="1:13" ht="15" thickBot="1" x14ac:dyDescent="0.35">
      <c r="A16" s="168"/>
      <c r="B16" s="169"/>
      <c r="C16" s="580"/>
      <c r="D16" s="581"/>
      <c r="E16" s="580"/>
      <c r="F16" s="581"/>
      <c r="G16" s="170"/>
      <c r="H16" s="171"/>
      <c r="I16" s="171"/>
      <c r="J16" s="171"/>
      <c r="K16" s="171"/>
      <c r="L16" s="172" t="s">
        <v>29</v>
      </c>
      <c r="M16" s="172">
        <f>SUM(M6:M14)</f>
        <v>0</v>
      </c>
    </row>
    <row r="17" spans="1:14" x14ac:dyDescent="0.3">
      <c r="A17" s="584" t="s">
        <v>67</v>
      </c>
      <c r="B17" s="585"/>
      <c r="C17" s="585"/>
      <c r="D17" s="585"/>
      <c r="E17" s="585"/>
      <c r="F17" s="585"/>
      <c r="G17" s="585"/>
      <c r="H17" s="585"/>
      <c r="I17" s="585"/>
      <c r="J17" s="585"/>
      <c r="K17" s="585"/>
      <c r="L17" s="586"/>
      <c r="M17" s="167">
        <f>'Amend#3 LEA Activities'!I64</f>
        <v>0</v>
      </c>
    </row>
    <row r="18" spans="1:14" x14ac:dyDescent="0.3">
      <c r="A18" s="88"/>
      <c r="B18" s="89"/>
      <c r="C18" s="89"/>
      <c r="D18" s="89"/>
      <c r="E18" s="89"/>
      <c r="F18" s="89"/>
      <c r="G18" s="89"/>
      <c r="H18" s="89"/>
      <c r="I18" s="89"/>
      <c r="J18" s="89"/>
      <c r="K18" s="89"/>
      <c r="L18" s="180" t="s">
        <v>2003</v>
      </c>
      <c r="M18" s="87">
        <f>'Amend#3 NPS Activities'!H64</f>
        <v>0</v>
      </c>
    </row>
    <row r="19" spans="1:14" x14ac:dyDescent="0.3">
      <c r="A19" s="174" t="s">
        <v>72</v>
      </c>
      <c r="B19" s="582">
        <f>'Amend#2 Main Budget'!B19</f>
        <v>0</v>
      </c>
      <c r="C19" s="583"/>
      <c r="D19" s="576" t="s">
        <v>24</v>
      </c>
      <c r="E19" s="576"/>
      <c r="F19" s="576"/>
      <c r="G19" s="576"/>
      <c r="H19" s="576"/>
      <c r="I19" s="576"/>
      <c r="J19" s="576"/>
      <c r="K19" s="576"/>
      <c r="L19" s="576"/>
      <c r="M19" s="153"/>
    </row>
    <row r="20" spans="1:14" x14ac:dyDescent="0.3">
      <c r="A20" s="577" t="s">
        <v>25</v>
      </c>
      <c r="B20" s="577"/>
      <c r="C20" s="577"/>
      <c r="D20" s="577"/>
      <c r="E20" s="577"/>
      <c r="F20" s="577"/>
      <c r="G20" s="577"/>
      <c r="H20" s="577"/>
      <c r="I20" s="577"/>
      <c r="J20" s="577"/>
      <c r="K20" s="577"/>
      <c r="L20" s="577"/>
      <c r="M20" s="90">
        <f>SUM(M16,M19)-K15</f>
        <v>0</v>
      </c>
    </row>
    <row r="21" spans="1:14" x14ac:dyDescent="0.3">
      <c r="A21" s="577" t="s">
        <v>26</v>
      </c>
      <c r="B21" s="577"/>
      <c r="C21" s="577"/>
      <c r="D21" s="577"/>
      <c r="E21" s="577"/>
      <c r="F21" s="577"/>
      <c r="G21" s="577"/>
      <c r="H21" s="577"/>
      <c r="I21" s="577"/>
      <c r="J21" s="577"/>
      <c r="K21" s="577"/>
      <c r="L21" s="577"/>
      <c r="M21" s="87">
        <f>ROUND((B19/100)*M20,2)</f>
        <v>0</v>
      </c>
    </row>
    <row r="22" spans="1:14" x14ac:dyDescent="0.3">
      <c r="A22" s="577" t="s">
        <v>27</v>
      </c>
      <c r="B22" s="577"/>
      <c r="C22" s="577"/>
      <c r="D22" s="577"/>
      <c r="E22" s="577"/>
      <c r="F22" s="577"/>
      <c r="G22" s="577"/>
      <c r="H22" s="577"/>
      <c r="I22" s="577"/>
      <c r="J22" s="577"/>
      <c r="K22" s="577"/>
      <c r="L22" s="577"/>
      <c r="M22" s="173">
        <f>'Amend#3 LEA Activities'!I62+'Amend#3 NPS Activities'!H62</f>
        <v>0</v>
      </c>
    </row>
    <row r="23" spans="1:14" x14ac:dyDescent="0.3">
      <c r="A23" s="91"/>
      <c r="B23" s="91"/>
      <c r="C23" s="91"/>
      <c r="D23" s="91"/>
      <c r="E23" s="91"/>
      <c r="F23" s="91"/>
      <c r="G23" s="91"/>
      <c r="H23" s="91"/>
      <c r="I23" s="91"/>
      <c r="J23" s="91"/>
      <c r="K23" s="91"/>
      <c r="L23" s="91" t="s">
        <v>2012</v>
      </c>
      <c r="M23" s="87">
        <f>SUM(C9:L9)</f>
        <v>0</v>
      </c>
    </row>
    <row r="24" spans="1:14" x14ac:dyDescent="0.3">
      <c r="A24" s="595" t="s">
        <v>73</v>
      </c>
      <c r="B24" s="595"/>
      <c r="C24" s="595"/>
      <c r="D24" s="595"/>
      <c r="E24" s="595"/>
      <c r="F24" s="595"/>
      <c r="G24" s="595"/>
      <c r="H24" s="595"/>
      <c r="I24" s="595"/>
      <c r="J24" s="595"/>
      <c r="K24" s="595"/>
      <c r="L24" s="595"/>
      <c r="M24" s="86">
        <f>M16+M22</f>
        <v>0</v>
      </c>
      <c r="N24" s="181" t="e">
        <f>'Amend#3 Overview'!G13+G14</f>
        <v>#VALUE!</v>
      </c>
    </row>
    <row r="25" spans="1:14" ht="15.6" x14ac:dyDescent="0.3">
      <c r="A25" s="234"/>
      <c r="B25" s="234"/>
      <c r="C25" s="234"/>
      <c r="D25" s="234"/>
      <c r="E25" s="234"/>
      <c r="F25" s="234"/>
      <c r="G25" s="234"/>
      <c r="H25" s="93"/>
      <c r="I25" s="93"/>
      <c r="J25" s="93"/>
      <c r="K25" s="93"/>
      <c r="L25" s="93"/>
      <c r="M25" s="94"/>
    </row>
    <row r="26" spans="1:14" ht="16.2" customHeight="1" x14ac:dyDescent="0.3">
      <c r="A26" s="594" t="s">
        <v>147</v>
      </c>
      <c r="B26" s="594"/>
      <c r="C26" s="594"/>
      <c r="D26" s="594"/>
      <c r="E26" s="594"/>
      <c r="F26" s="594"/>
      <c r="G26" s="95" t="s">
        <v>31</v>
      </c>
      <c r="H26" s="96" t="s">
        <v>74</v>
      </c>
      <c r="I26" s="97"/>
      <c r="J26" s="98"/>
    </row>
    <row r="27" spans="1:14" ht="22.95" customHeight="1" x14ac:dyDescent="0.3">
      <c r="A27" s="588" t="s">
        <v>144</v>
      </c>
      <c r="B27" s="589"/>
      <c r="C27" s="589"/>
      <c r="D27" s="589"/>
      <c r="E27" s="589"/>
      <c r="F27" s="590"/>
      <c r="G27" s="99">
        <f>SUMIF('Amend#3 LEA Activities'!B6:B35,"1",'Amend#3 LEA Activities'!E6:E35)</f>
        <v>0</v>
      </c>
      <c r="H27" s="277" t="str">
        <f>IFERROR(SUM(G27/Overview!G14),"")</f>
        <v/>
      </c>
      <c r="I27" s="101"/>
      <c r="J27" s="102"/>
    </row>
    <row r="28" spans="1:14" ht="20.399999999999999" customHeight="1" x14ac:dyDescent="0.3">
      <c r="A28" s="591" t="s">
        <v>145</v>
      </c>
      <c r="B28" s="592"/>
      <c r="C28" s="592"/>
      <c r="D28" s="592"/>
      <c r="E28" s="592"/>
      <c r="F28" s="593"/>
      <c r="G28" s="99">
        <f>SUMIF('Amend#3 LEA Activities'!B6:B35,"2",'Amend#3 LEA Activities'!E6:E35)</f>
        <v>0</v>
      </c>
      <c r="H28" s="277" t="str">
        <f>IFERROR(SUM(G28/Overview!G14),"")</f>
        <v/>
      </c>
      <c r="I28" s="101"/>
      <c r="J28" s="102"/>
    </row>
    <row r="29" spans="1:14" ht="21" customHeight="1" x14ac:dyDescent="0.3">
      <c r="A29" s="591" t="s">
        <v>146</v>
      </c>
      <c r="B29" s="592"/>
      <c r="C29" s="592"/>
      <c r="D29" s="592"/>
      <c r="E29" s="592"/>
      <c r="F29" s="593"/>
      <c r="G29" s="99">
        <f>SUMIF('Amend#3 LEA Activities'!B6:B35,"3",'Amend#3 LEA Activities'!E6:E35)</f>
        <v>0</v>
      </c>
      <c r="H29" s="277" t="str">
        <f>IFERROR(SUM(G29/Overview!G14),"")</f>
        <v/>
      </c>
      <c r="I29" s="101"/>
      <c r="J29" s="102"/>
      <c r="K29" s="596"/>
      <c r="L29" s="596"/>
      <c r="M29" s="103"/>
    </row>
    <row r="30" spans="1:14" ht="22.95" customHeight="1" x14ac:dyDescent="0.3">
      <c r="A30" s="104"/>
      <c r="B30" s="104"/>
      <c r="C30" s="104"/>
      <c r="D30" s="587"/>
      <c r="E30" s="587"/>
      <c r="F30" s="587"/>
      <c r="G30" s="587"/>
      <c r="H30" s="105"/>
      <c r="I30" s="105"/>
      <c r="J30" s="106"/>
      <c r="K30" s="596"/>
      <c r="L30" s="596"/>
      <c r="M30" s="103"/>
    </row>
  </sheetData>
  <sheetProtection algorithmName="SHA-512" hashValue="iPVRY81XOqvrhKCvEnPStSouH/Ui8aBwrrU0iJ7sHV/NOgGoeyvCe5HzgxdfGNehhM0FcWN+E4vfvh7gpMUsqw==" saltValue="raPOswY/GO94a+/4ojLwPA==" spinCount="100000" sheet="1" objects="1" scenarios="1" selectLockedCells="1"/>
  <protectedRanges>
    <protectedRange algorithmName="SHA-512" hashValue="3b95bpvQjq0s58Os8PVjtFd5QufcRL5YDzBpab6JTWdhNWE+3Sew372NYJC9LyYwHdiLoG9+E1URQ/9gXw6M2g==" saltValue="Dc4ubrENfJ1JzZRbwmxr1Q==" spinCount="100000" sqref="M30" name="Infrastructure"/>
    <protectedRange algorithmName="SHA-512" hashValue="3b95bpvQjq0s58Os8PVjtFd5QufcRL5YDzBpab6JTWdhNWE+3Sew372NYJC9LyYwHdiLoG9+E1URQ/9gXw6M2g==" saltValue="Dc4ubrENfJ1JzZRbwmxr1Q==" spinCount="100000" sqref="M29" name="Infrastructure_1"/>
    <protectedRange algorithmName="SHA-512" hashValue="VE+MMm4Tq2imO0b4cCfe/GLwo5/uojngjNFtz+gAM1c2BDwWuP/m5dHuk50rv/zQxkG1QadmD2mIZxE45SDDjQ==" saltValue="ZVp3gHcNtMIFaeXScHwgTQ==" spinCount="100000" sqref="G27:G29" name="Focus Area_1"/>
    <protectedRange algorithmName="SHA-512" hashValue="gmWeISesQPMhzvPqYovgcN9UEgd0Qz9m7L2OL3iTpt69X/6n0UP292d1N3RSvpGgIGeqEyqzc55mwxngwvAePw==" saltValue="fYwuXBuj4dlAVNgmXMHXmA==" spinCount="100000" sqref="M15 C14:K14 M6:M13" name="Main Budget_2"/>
    <protectedRange algorithmName="SHA-512" hashValue="gmWeISesQPMhzvPqYovgcN9UEgd0Qz9m7L2OL3iTpt69X/6n0UP292d1N3RSvpGgIGeqEyqzc55mwxngwvAePw==" saltValue="fYwuXBuj4dlAVNgmXMHXmA==" spinCount="100000" sqref="L14:M14" name="Main Budget_1_1"/>
    <protectedRange algorithmName="SHA-512" hashValue="g94kMd79A/YYd0ADBad8mZMcZU2dwwfpSMxsE13ATz7R3GZjHsJQKg4bX2Qxb4n3xtTTwh/jVE9u2bu0jJr3Pg==" saltValue="iPGkUWOUuB1Ny8MQAQGXzg==" spinCount="100000" sqref="M21:M24" name="Totals_3_1"/>
    <protectedRange algorithmName="SHA-512" hashValue="g94kMd79A/YYd0ADBad8mZMcZU2dwwfpSMxsE13ATz7R3GZjHsJQKg4bX2Qxb4n3xtTTwh/jVE9u2bu0jJr3Pg==" saltValue="iPGkUWOUuB1Ny8MQAQGXzg==" spinCount="100000" sqref="M20" name="Totals_4"/>
    <protectedRange algorithmName="SHA-512" hashValue="gmWeISesQPMhzvPqYovgcN9UEgd0Qz9m7L2OL3iTpt69X/6n0UP292d1N3RSvpGgIGeqEyqzc55mwxngwvAePw==" saltValue="fYwuXBuj4dlAVNgmXMHXmA==" spinCount="100000" sqref="G6:L13" name="Main Budget_3"/>
    <protectedRange algorithmName="SHA-512" hashValue="gmWeISesQPMhzvPqYovgcN9UEgd0Qz9m7L2OL3iTpt69X/6n0UP292d1N3RSvpGgIGeqEyqzc55mwxngwvAePw==" saltValue="fYwuXBuj4dlAVNgmXMHXmA==" spinCount="100000" sqref="C6:D13" name="Main Budget_4"/>
    <protectedRange algorithmName="SHA-512" hashValue="gmWeISesQPMhzvPqYovgcN9UEgd0Qz9m7L2OL3iTpt69X/6n0UP292d1N3RSvpGgIGeqEyqzc55mwxngwvAePw==" saltValue="fYwuXBuj4dlAVNgmXMHXmA==" spinCount="100000" sqref="E6:F13" name="Main Budget_1_2"/>
    <protectedRange algorithmName="SHA-512" hashValue="gmWeISesQPMhzvPqYovgcN9UEgd0Qz9m7L2OL3iTpt69X/6n0UP292d1N3RSvpGgIGeqEyqzc55mwxngwvAePw==" saltValue="fYwuXBuj4dlAVNgmXMHXmA==" spinCount="100000" sqref="C15:L15" name="Main Budget_2_1"/>
  </protectedRanges>
  <mergeCells count="54">
    <mergeCell ref="A22:L22"/>
    <mergeCell ref="D30:G30"/>
    <mergeCell ref="K30:L30"/>
    <mergeCell ref="A17:L17"/>
    <mergeCell ref="B19:C19"/>
    <mergeCell ref="D19:L19"/>
    <mergeCell ref="A20:L20"/>
    <mergeCell ref="A21:L21"/>
    <mergeCell ref="A24:L24"/>
    <mergeCell ref="A26:F26"/>
    <mergeCell ref="A27:F27"/>
    <mergeCell ref="A28:F28"/>
    <mergeCell ref="A29:F29"/>
    <mergeCell ref="K29:L29"/>
    <mergeCell ref="C15:D15"/>
    <mergeCell ref="E15:F15"/>
    <mergeCell ref="C16:D16"/>
    <mergeCell ref="E16:F16"/>
    <mergeCell ref="C11:D11"/>
    <mergeCell ref="E11:F11"/>
    <mergeCell ref="C12:D12"/>
    <mergeCell ref="E12:F12"/>
    <mergeCell ref="C13:D13"/>
    <mergeCell ref="E13:F13"/>
    <mergeCell ref="C14:D14"/>
    <mergeCell ref="E14:F14"/>
    <mergeCell ref="C8:D8"/>
    <mergeCell ref="E8:F8"/>
    <mergeCell ref="C9:D9"/>
    <mergeCell ref="E9:F9"/>
    <mergeCell ref="C10:D10"/>
    <mergeCell ref="E10:F10"/>
    <mergeCell ref="I4:I5"/>
    <mergeCell ref="J4:J5"/>
    <mergeCell ref="C6:D6"/>
    <mergeCell ref="E6:F6"/>
    <mergeCell ref="C7:D7"/>
    <mergeCell ref="E7:F7"/>
    <mergeCell ref="K4:K5"/>
    <mergeCell ref="L4:L5"/>
    <mergeCell ref="M4:M5"/>
    <mergeCell ref="A1:M1"/>
    <mergeCell ref="A2:M2"/>
    <mergeCell ref="A3:B3"/>
    <mergeCell ref="C3:D3"/>
    <mergeCell ref="E3:F3"/>
    <mergeCell ref="A4:A5"/>
    <mergeCell ref="B4:B5"/>
    <mergeCell ref="C4:D4"/>
    <mergeCell ref="E4:F4"/>
    <mergeCell ref="G4:G5"/>
    <mergeCell ref="C5:D5"/>
    <mergeCell ref="E5:F5"/>
    <mergeCell ref="H4:H5"/>
  </mergeCells>
  <conditionalFormatting sqref="M22">
    <cfRule type="expression" dxfId="58" priority="25">
      <formula>$M$22&lt;=$M$21</formula>
    </cfRule>
  </conditionalFormatting>
  <conditionalFormatting sqref="M22">
    <cfRule type="expression" dxfId="57" priority="27">
      <formula>$M$22&gt;$M$21</formula>
    </cfRule>
  </conditionalFormatting>
  <conditionalFormatting sqref="B8">
    <cfRule type="expression" dxfId="56" priority="1">
      <formula>MOD(ROW(),2)=0</formula>
    </cfRule>
  </conditionalFormatting>
  <hyperlinks>
    <hyperlink ref="A3:B3" location="'Budget Category'!A1" display="Object Code" xr:uid="{FE8EC1B6-EC56-413A-AF5D-421A838C1C2E}"/>
  </hyperlinks>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24" id="{81645362-70BB-47D0-B22D-A32D2E713F51}">
            <xm:f>$M$23&lt;='Amend#3 Overview'!I15</xm:f>
            <x14:dxf>
              <fill>
                <patternFill>
                  <bgColor rgb="FF92D050"/>
                </patternFill>
              </fill>
            </x14:dxf>
          </x14:cfRule>
          <x14:cfRule type="expression" priority="26" id="{800FC309-D586-44F1-92F6-24E56135A9D0}">
            <xm:f>$M$23&gt;'Amend#3 Overview'!I15</xm:f>
            <x14:dxf>
              <font>
                <b/>
                <i val="0"/>
                <color theme="0"/>
              </font>
              <fill>
                <patternFill>
                  <bgColor rgb="FFFF0000"/>
                </patternFill>
              </fill>
            </x14:dxf>
          </x14:cfRule>
          <xm:sqref>M23</xm:sqref>
        </x14:conditionalFormatting>
        <x14:conditionalFormatting xmlns:xm="http://schemas.microsoft.com/office/excel/2006/main">
          <x14:cfRule type="expression" priority="22" id="{C2F84473-22DA-4301-B5D0-7FE319BBA545}">
            <xm:f>$M$18='Amend#3 Equitable Share'!K56</xm:f>
            <x14:dxf>
              <fill>
                <patternFill>
                  <bgColor rgb="FF92D050"/>
                </patternFill>
              </fill>
            </x14:dxf>
          </x14:cfRule>
          <x14:cfRule type="expression" priority="23" id="{2F05911E-E66B-41EE-9AB1-2EE9042697FA}">
            <xm:f>$M$18&lt;&gt;'Amend#3 Equitable Share'!K56</xm:f>
            <x14:dxf>
              <fill>
                <patternFill>
                  <bgColor rgb="FFFF0000"/>
                </patternFill>
              </fill>
            </x14:dxf>
          </x14:cfRule>
          <xm:sqref>M18</xm:sqref>
        </x14:conditionalFormatting>
        <x14:conditionalFormatting xmlns:xm="http://schemas.microsoft.com/office/excel/2006/main">
          <x14:cfRule type="expression" priority="20" id="{65DAFD16-80B8-487C-98D0-A98128F82496}">
            <xm:f>$M$24&lt;&gt;'Amend#3 Overview'!$G$12</xm:f>
            <x14:dxf>
              <fill>
                <patternFill>
                  <bgColor rgb="FFFF0000"/>
                </patternFill>
              </fill>
            </x14:dxf>
          </x14:cfRule>
          <x14:cfRule type="expression" priority="21" id="{06F157DA-2F99-4527-A554-EF3811E495B9}">
            <xm:f>$M$24='Amend#3 Overview'!$G$12</xm:f>
            <x14:dxf>
              <fill>
                <patternFill>
                  <bgColor rgb="FF92D050"/>
                </patternFill>
              </fill>
            </x14:dxf>
          </x14:cfRule>
          <xm:sqref>M24</xm:sqref>
        </x14:conditionalFormatting>
        <x14:conditionalFormatting xmlns:xm="http://schemas.microsoft.com/office/excel/2006/main">
          <x14:cfRule type="expression" priority="18" id="{DB717A13-F18E-4833-908C-E8DDD3D7A813}">
            <xm:f>$M$17='Amend#3 Overview'!G14</xm:f>
            <x14:dxf>
              <fill>
                <patternFill>
                  <bgColor rgb="FF92D050"/>
                </patternFill>
              </fill>
            </x14:dxf>
          </x14:cfRule>
          <x14:cfRule type="expression" priority="19" id="{008C868C-B3FC-4BF0-AFC9-EA7F6B724E62}">
            <xm:f>$M$17&lt;&gt;'Amend#3 Overview'!G14</xm:f>
            <x14:dxf>
              <fill>
                <patternFill>
                  <bgColor rgb="FFFF0000"/>
                </patternFill>
              </fill>
            </x14:dxf>
          </x14:cfRule>
          <xm:sqref>M17</xm:sqref>
        </x14:conditionalFormatting>
        <x14:conditionalFormatting xmlns:xm="http://schemas.microsoft.com/office/excel/2006/main">
          <x14:cfRule type="cellIs" priority="9" operator="lessThan" id="{5AE5B7BD-23DF-4316-AD79-04FE2A58AD34}">
            <xm:f>'Amend#2 Main Budget'!C6</xm:f>
            <x14:dxf>
              <font>
                <b/>
                <i val="0"/>
                <color rgb="FFFF0000"/>
              </font>
            </x14:dxf>
          </x14:cfRule>
          <x14:cfRule type="cellIs" priority="10" operator="greaterThan" id="{D34B37E4-3D60-40C0-8824-0D872D1567F5}">
            <xm:f>'Amend#2 Main Budget'!C6</xm:f>
            <x14:dxf>
              <font>
                <b/>
                <i val="0"/>
                <color rgb="FF92D050"/>
              </font>
            </x14:dxf>
          </x14:cfRule>
          <xm:sqref>C6:L13 C15:L15</xm:sqref>
        </x14:conditionalFormatting>
      </x14:conditionalFormattings>
    </ext>
  </extLs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29C8C-5794-4C7C-A3B9-6D0982E1190B}">
  <sheetPr>
    <tabColor rgb="FFFF7C80"/>
  </sheetPr>
  <dimension ref="A1:S72"/>
  <sheetViews>
    <sheetView zoomScaleNormal="100" workbookViewId="0">
      <selection activeCell="C4" sqref="C4:D4"/>
    </sheetView>
  </sheetViews>
  <sheetFormatPr defaultRowHeight="14.4" x14ac:dyDescent="0.3"/>
  <cols>
    <col min="1" max="1" width="14.21875" customWidth="1"/>
    <col min="2" max="2" width="15.88671875" customWidth="1"/>
    <col min="3" max="3" width="14.21875" customWidth="1"/>
    <col min="4" max="4" width="14.77734375" customWidth="1"/>
    <col min="5" max="6" width="15" customWidth="1"/>
    <col min="7" max="7" width="3.5546875" customWidth="1"/>
  </cols>
  <sheetData>
    <row r="1" spans="1:19" ht="29.4" customHeight="1" thickBot="1" x14ac:dyDescent="0.35">
      <c r="A1" s="777" t="s">
        <v>2034</v>
      </c>
      <c r="B1" s="778"/>
      <c r="C1" s="778"/>
      <c r="D1" s="778"/>
      <c r="E1" s="778"/>
      <c r="F1" s="778"/>
      <c r="G1" s="778"/>
      <c r="H1" s="778"/>
      <c r="I1" s="778"/>
      <c r="J1" s="778"/>
      <c r="K1" s="778"/>
      <c r="L1" s="778"/>
      <c r="M1" s="778"/>
      <c r="N1" s="778"/>
      <c r="O1" s="778"/>
      <c r="P1" s="778"/>
      <c r="Q1" s="778"/>
      <c r="R1" s="778"/>
      <c r="S1" s="779"/>
    </row>
    <row r="2" spans="1:19" ht="15" thickBot="1" x14ac:dyDescent="0.35">
      <c r="A2" s="275" t="s">
        <v>2036</v>
      </c>
      <c r="B2" s="276" t="s">
        <v>2061</v>
      </c>
      <c r="C2" s="268"/>
      <c r="D2" s="275" t="s">
        <v>2035</v>
      </c>
      <c r="E2" s="604"/>
      <c r="F2" s="604"/>
      <c r="G2" s="268"/>
      <c r="H2" s="268"/>
      <c r="I2" s="268"/>
      <c r="J2" s="268"/>
      <c r="K2" s="268"/>
      <c r="L2" s="268"/>
      <c r="M2" s="268"/>
      <c r="N2" s="268"/>
      <c r="O2" s="268"/>
      <c r="P2" s="268"/>
      <c r="Q2" s="268"/>
      <c r="R2" s="268"/>
      <c r="S2" s="269"/>
    </row>
    <row r="3" spans="1:19" x14ac:dyDescent="0.3">
      <c r="A3" s="629" t="s">
        <v>2037</v>
      </c>
      <c r="B3" s="630"/>
      <c r="C3" s="630" t="s">
        <v>2038</v>
      </c>
      <c r="D3" s="630"/>
      <c r="E3" s="630" t="s">
        <v>2039</v>
      </c>
      <c r="F3" s="638"/>
      <c r="G3" s="268"/>
      <c r="H3" s="268"/>
      <c r="I3" s="268"/>
      <c r="J3" s="268"/>
      <c r="K3" s="268"/>
      <c r="L3" s="268"/>
      <c r="M3" s="268"/>
      <c r="N3" s="268"/>
      <c r="O3" s="268"/>
      <c r="P3" s="268"/>
      <c r="Q3" s="268"/>
      <c r="R3" s="268"/>
      <c r="S3" s="269"/>
    </row>
    <row r="4" spans="1:19" ht="15" thickBot="1" x14ac:dyDescent="0.35">
      <c r="A4" s="733">
        <f>'Amend#3 Overview'!C8</f>
        <v>0</v>
      </c>
      <c r="B4" s="641"/>
      <c r="C4" s="641">
        <f>'Amend#3 Overview'!G8</f>
        <v>0</v>
      </c>
      <c r="D4" s="641"/>
      <c r="E4" s="642">
        <f>'Amend#3 Overview'!K8</f>
        <v>0</v>
      </c>
      <c r="F4" s="643"/>
      <c r="G4" s="268"/>
      <c r="H4" s="268"/>
      <c r="I4" s="268"/>
      <c r="J4" s="268"/>
      <c r="K4" s="268"/>
      <c r="L4" s="268"/>
      <c r="M4" s="268"/>
      <c r="N4" s="268"/>
      <c r="O4" s="268"/>
      <c r="P4" s="268"/>
      <c r="Q4" s="268"/>
      <c r="R4" s="268"/>
      <c r="S4" s="269"/>
    </row>
    <row r="5" spans="1:19" ht="29.4" customHeight="1" x14ac:dyDescent="0.3">
      <c r="A5" s="629" t="s">
        <v>2040</v>
      </c>
      <c r="B5" s="630"/>
      <c r="C5" s="630" t="s">
        <v>2041</v>
      </c>
      <c r="D5" s="630"/>
      <c r="E5" s="631" t="s">
        <v>2042</v>
      </c>
      <c r="F5" s="632"/>
      <c r="G5" s="268"/>
      <c r="H5" s="268"/>
      <c r="I5" s="268"/>
      <c r="J5" s="268"/>
      <c r="K5" s="268"/>
      <c r="L5" s="268"/>
      <c r="M5" s="268"/>
      <c r="N5" s="268"/>
      <c r="O5" s="268"/>
      <c r="P5" s="268"/>
      <c r="Q5" s="268"/>
      <c r="R5" s="268"/>
      <c r="S5" s="269"/>
    </row>
    <row r="6" spans="1:19" ht="15" thickBot="1" x14ac:dyDescent="0.35">
      <c r="A6" s="633" t="str">
        <f>Overview!G9</f>
        <v/>
      </c>
      <c r="B6" s="634"/>
      <c r="C6" s="635">
        <f>'Amend#3 Overview'!G10</f>
        <v>0</v>
      </c>
      <c r="D6" s="634"/>
      <c r="E6" s="636" t="str">
        <f>IFERROR(C6/A6,"")</f>
        <v/>
      </c>
      <c r="F6" s="637"/>
      <c r="G6" s="268"/>
      <c r="H6" s="268"/>
      <c r="I6" s="268"/>
      <c r="J6" s="268"/>
      <c r="K6" s="268"/>
      <c r="L6" s="268"/>
      <c r="M6" s="268"/>
      <c r="N6" s="268"/>
      <c r="O6" s="268"/>
      <c r="P6" s="268"/>
      <c r="Q6" s="268"/>
      <c r="R6" s="268"/>
      <c r="S6" s="269"/>
    </row>
    <row r="7" spans="1:19" x14ac:dyDescent="0.3">
      <c r="A7" s="270"/>
      <c r="B7" s="268"/>
      <c r="C7" s="268"/>
      <c r="D7" s="268"/>
      <c r="E7" s="268"/>
      <c r="F7" s="268"/>
      <c r="G7" s="268"/>
      <c r="H7" s="268"/>
      <c r="I7" s="268"/>
      <c r="J7" s="268"/>
      <c r="K7" s="268"/>
      <c r="L7" s="268"/>
      <c r="M7" s="268"/>
      <c r="N7" s="268"/>
      <c r="O7" s="268"/>
      <c r="P7" s="268"/>
      <c r="Q7" s="268"/>
      <c r="R7" s="268"/>
      <c r="S7" s="269"/>
    </row>
    <row r="8" spans="1:19" x14ac:dyDescent="0.3">
      <c r="A8" s="621" t="s">
        <v>2044</v>
      </c>
      <c r="B8" s="602"/>
      <c r="C8" s="266"/>
      <c r="D8" s="267"/>
      <c r="E8" s="602" t="s">
        <v>2043</v>
      </c>
      <c r="F8" s="602"/>
      <c r="G8" s="268"/>
      <c r="H8" s="268"/>
      <c r="I8" s="268"/>
      <c r="J8" s="268"/>
      <c r="K8" s="268"/>
      <c r="L8" s="268"/>
      <c r="M8" s="268"/>
      <c r="N8" s="268"/>
      <c r="O8" s="268"/>
      <c r="P8" s="268"/>
      <c r="Q8" s="268"/>
      <c r="R8" s="268"/>
      <c r="S8" s="269"/>
    </row>
    <row r="9" spans="1:19" x14ac:dyDescent="0.3">
      <c r="A9" s="600" t="s">
        <v>2060</v>
      </c>
      <c r="B9" s="601"/>
      <c r="C9" s="271"/>
      <c r="D9" s="271"/>
      <c r="E9" s="600" t="s">
        <v>2060</v>
      </c>
      <c r="F9" s="601"/>
      <c r="G9" s="268"/>
      <c r="H9" s="268"/>
      <c r="I9" s="268"/>
      <c r="J9" s="268"/>
      <c r="K9" s="268"/>
      <c r="L9" s="268"/>
      <c r="M9" s="268"/>
      <c r="N9" s="268"/>
      <c r="O9" s="268"/>
      <c r="P9" s="268"/>
      <c r="Q9" s="268"/>
      <c r="R9" s="268"/>
      <c r="S9" s="269"/>
    </row>
    <row r="10" spans="1:19" x14ac:dyDescent="0.3">
      <c r="A10" s="621" t="s">
        <v>2045</v>
      </c>
      <c r="B10" s="602"/>
      <c r="C10" s="268"/>
      <c r="D10" s="268"/>
      <c r="E10" s="602" t="s">
        <v>2045</v>
      </c>
      <c r="F10" s="602"/>
      <c r="G10" s="268"/>
      <c r="H10" s="268"/>
      <c r="I10" s="268"/>
      <c r="J10" s="268"/>
      <c r="K10" s="268"/>
      <c r="L10" s="268"/>
      <c r="M10" s="268"/>
      <c r="N10" s="268"/>
      <c r="O10" s="268"/>
      <c r="P10" s="268"/>
      <c r="Q10" s="268"/>
      <c r="R10" s="268"/>
      <c r="S10" s="269"/>
    </row>
    <row r="11" spans="1:19" x14ac:dyDescent="0.3">
      <c r="A11" s="622">
        <f>IF('Amend#3 Overview'!M23&gt;'Amend#3 Overview'!I15,'Amend#3 Overview'!M23-'Amend#3 Overview'!I15,0)</f>
        <v>0</v>
      </c>
      <c r="B11" s="623"/>
      <c r="C11" s="268"/>
      <c r="D11" s="268"/>
      <c r="E11" s="624">
        <f>IF('Amend#3 Overview'!M22&gt;'Amend#3 Overview'!M21,'Amend#3 Overview'!M22-'Amend#3 Overview'!M21,0)</f>
        <v>0</v>
      </c>
      <c r="F11" s="624"/>
      <c r="G11" s="268"/>
      <c r="H11" s="268"/>
      <c r="I11" s="268"/>
      <c r="J11" s="268"/>
      <c r="K11" s="268"/>
      <c r="L11" s="268"/>
      <c r="M11" s="268"/>
      <c r="N11" s="268"/>
      <c r="O11" s="268"/>
      <c r="P11" s="268"/>
      <c r="Q11" s="268"/>
      <c r="R11" s="268"/>
      <c r="S11" s="269"/>
    </row>
    <row r="12" spans="1:19" ht="15" thickBot="1" x14ac:dyDescent="0.35">
      <c r="A12" s="270"/>
      <c r="B12" s="268"/>
      <c r="C12" s="268"/>
      <c r="D12" s="268"/>
      <c r="E12" s="268"/>
      <c r="F12" s="268"/>
      <c r="G12" s="268"/>
      <c r="H12" s="268"/>
      <c r="I12" s="268"/>
      <c r="J12" s="268"/>
      <c r="K12" s="268"/>
      <c r="L12" s="268"/>
      <c r="M12" s="268"/>
      <c r="N12" s="268"/>
      <c r="O12" s="268"/>
      <c r="P12" s="268"/>
      <c r="Q12" s="268"/>
      <c r="R12" s="268"/>
      <c r="S12" s="269"/>
    </row>
    <row r="13" spans="1:19" ht="15" thickBot="1" x14ac:dyDescent="0.35">
      <c r="A13" s="621" t="s">
        <v>2046</v>
      </c>
      <c r="B13" s="602"/>
      <c r="C13" s="602"/>
      <c r="D13" s="602"/>
      <c r="E13" s="602"/>
      <c r="F13" s="602"/>
      <c r="G13" s="268"/>
      <c r="H13" s="605" t="s">
        <v>2049</v>
      </c>
      <c r="I13" s="606"/>
      <c r="J13" s="606"/>
      <c r="K13" s="606"/>
      <c r="L13" s="606"/>
      <c r="M13" s="606"/>
      <c r="N13" s="606"/>
      <c r="O13" s="606"/>
      <c r="P13" s="606"/>
      <c r="Q13" s="606"/>
      <c r="R13" s="606"/>
      <c r="S13" s="607"/>
    </row>
    <row r="14" spans="1:19" ht="14.4" customHeight="1" thickBot="1" x14ac:dyDescent="0.35">
      <c r="A14" s="627" t="s">
        <v>2060</v>
      </c>
      <c r="B14" s="628"/>
      <c r="C14" s="612" t="s">
        <v>2054</v>
      </c>
      <c r="D14" s="613"/>
      <c r="E14" s="613"/>
      <c r="F14" s="614"/>
      <c r="G14" s="268"/>
      <c r="H14" s="608"/>
      <c r="I14" s="609"/>
      <c r="J14" s="609"/>
      <c r="K14" s="609"/>
      <c r="L14" s="609"/>
      <c r="M14" s="609"/>
      <c r="N14" s="609"/>
      <c r="O14" s="609"/>
      <c r="P14" s="609"/>
      <c r="Q14" s="609"/>
      <c r="R14" s="609"/>
      <c r="S14" s="610"/>
    </row>
    <row r="15" spans="1:19" x14ac:dyDescent="0.3">
      <c r="A15" s="627"/>
      <c r="B15" s="628"/>
      <c r="C15" s="615"/>
      <c r="D15" s="611"/>
      <c r="E15" s="611"/>
      <c r="F15" s="616"/>
      <c r="G15" s="268"/>
      <c r="H15" s="602" t="s">
        <v>2050</v>
      </c>
      <c r="I15" s="602"/>
      <c r="J15" s="602"/>
      <c r="K15" s="602"/>
      <c r="L15" s="602" t="s">
        <v>2051</v>
      </c>
      <c r="M15" s="602"/>
      <c r="N15" s="602"/>
      <c r="O15" s="602"/>
      <c r="P15" s="602" t="s">
        <v>2052</v>
      </c>
      <c r="Q15" s="602"/>
      <c r="R15" s="602"/>
      <c r="S15" s="603"/>
    </row>
    <row r="16" spans="1:19" x14ac:dyDescent="0.3">
      <c r="A16" s="627"/>
      <c r="B16" s="628"/>
      <c r="C16" s="615"/>
      <c r="D16" s="611"/>
      <c r="E16" s="611"/>
      <c r="F16" s="616"/>
      <c r="G16" s="268"/>
      <c r="H16" s="620" t="s">
        <v>2061</v>
      </c>
      <c r="I16" s="620"/>
      <c r="J16" s="620"/>
      <c r="K16" s="620"/>
      <c r="L16" s="620" t="s">
        <v>2060</v>
      </c>
      <c r="M16" s="620"/>
      <c r="N16" s="620"/>
      <c r="O16" s="620"/>
      <c r="P16" s="620" t="s">
        <v>2060</v>
      </c>
      <c r="Q16" s="620"/>
      <c r="R16" s="620"/>
      <c r="S16" s="620"/>
    </row>
    <row r="17" spans="1:19" ht="15" thickBot="1" x14ac:dyDescent="0.35">
      <c r="A17" s="270"/>
      <c r="B17" s="268"/>
      <c r="C17" s="615"/>
      <c r="D17" s="611"/>
      <c r="E17" s="611"/>
      <c r="F17" s="616"/>
      <c r="G17" s="268"/>
      <c r="H17" s="268"/>
      <c r="I17" s="268"/>
      <c r="J17" s="268"/>
      <c r="K17" s="268"/>
      <c r="L17" s="268"/>
      <c r="M17" s="268"/>
      <c r="N17" s="268"/>
      <c r="O17" s="268"/>
      <c r="P17" s="268"/>
      <c r="Q17" s="268"/>
      <c r="R17" s="268"/>
      <c r="S17" s="269"/>
    </row>
    <row r="18" spans="1:19" x14ac:dyDescent="0.3">
      <c r="A18" s="270"/>
      <c r="B18" s="268"/>
      <c r="C18" s="615"/>
      <c r="D18" s="611"/>
      <c r="E18" s="611"/>
      <c r="F18" s="616"/>
      <c r="G18" s="268"/>
      <c r="H18" s="602" t="s">
        <v>2053</v>
      </c>
      <c r="I18" s="602"/>
      <c r="J18" s="602"/>
      <c r="K18" s="602"/>
      <c r="L18" s="268"/>
      <c r="M18" s="612" t="s">
        <v>2054</v>
      </c>
      <c r="N18" s="613"/>
      <c r="O18" s="613"/>
      <c r="P18" s="613"/>
      <c r="Q18" s="613"/>
      <c r="R18" s="613"/>
      <c r="S18" s="614"/>
    </row>
    <row r="19" spans="1:19" x14ac:dyDescent="0.3">
      <c r="A19" s="270"/>
      <c r="B19" s="268"/>
      <c r="C19" s="615"/>
      <c r="D19" s="611"/>
      <c r="E19" s="611"/>
      <c r="F19" s="616"/>
      <c r="G19" s="268"/>
      <c r="H19" s="611" t="s">
        <v>2054</v>
      </c>
      <c r="I19" s="611"/>
      <c r="J19" s="611"/>
      <c r="K19" s="611"/>
      <c r="L19" s="268"/>
      <c r="M19" s="615"/>
      <c r="N19" s="611"/>
      <c r="O19" s="611"/>
      <c r="P19" s="611"/>
      <c r="Q19" s="611"/>
      <c r="R19" s="611"/>
      <c r="S19" s="616"/>
    </row>
    <row r="20" spans="1:19" x14ac:dyDescent="0.3">
      <c r="A20" s="270"/>
      <c r="B20" s="268"/>
      <c r="C20" s="615"/>
      <c r="D20" s="611"/>
      <c r="E20" s="611"/>
      <c r="F20" s="616"/>
      <c r="G20" s="268"/>
      <c r="H20" s="611"/>
      <c r="I20" s="611"/>
      <c r="J20" s="611"/>
      <c r="K20" s="611"/>
      <c r="L20" s="268"/>
      <c r="M20" s="615"/>
      <c r="N20" s="611"/>
      <c r="O20" s="611"/>
      <c r="P20" s="611"/>
      <c r="Q20" s="611"/>
      <c r="R20" s="611"/>
      <c r="S20" s="616"/>
    </row>
    <row r="21" spans="1:19" x14ac:dyDescent="0.3">
      <c r="A21" s="270"/>
      <c r="B21" s="268"/>
      <c r="C21" s="615"/>
      <c r="D21" s="611"/>
      <c r="E21" s="611"/>
      <c r="F21" s="616"/>
      <c r="G21" s="268"/>
      <c r="H21" s="611"/>
      <c r="I21" s="611"/>
      <c r="J21" s="611"/>
      <c r="K21" s="611"/>
      <c r="L21" s="268"/>
      <c r="M21" s="615"/>
      <c r="N21" s="611"/>
      <c r="O21" s="611"/>
      <c r="P21" s="611"/>
      <c r="Q21" s="611"/>
      <c r="R21" s="611"/>
      <c r="S21" s="616"/>
    </row>
    <row r="22" spans="1:19" x14ac:dyDescent="0.3">
      <c r="A22" s="270"/>
      <c r="B22" s="268"/>
      <c r="C22" s="615"/>
      <c r="D22" s="611"/>
      <c r="E22" s="611"/>
      <c r="F22" s="616"/>
      <c r="G22" s="268"/>
      <c r="H22" s="611"/>
      <c r="I22" s="611"/>
      <c r="J22" s="611"/>
      <c r="K22" s="611"/>
      <c r="L22" s="268"/>
      <c r="M22" s="615"/>
      <c r="N22" s="611"/>
      <c r="O22" s="611"/>
      <c r="P22" s="611"/>
      <c r="Q22" s="611"/>
      <c r="R22" s="611"/>
      <c r="S22" s="616"/>
    </row>
    <row r="23" spans="1:19" x14ac:dyDescent="0.3">
      <c r="A23" s="270"/>
      <c r="B23" s="268"/>
      <c r="C23" s="615"/>
      <c r="D23" s="611"/>
      <c r="E23" s="611"/>
      <c r="F23" s="616"/>
      <c r="G23" s="268"/>
      <c r="H23" s="611"/>
      <c r="I23" s="611"/>
      <c r="J23" s="611"/>
      <c r="K23" s="611"/>
      <c r="L23" s="268"/>
      <c r="M23" s="615"/>
      <c r="N23" s="611"/>
      <c r="O23" s="611"/>
      <c r="P23" s="611"/>
      <c r="Q23" s="611"/>
      <c r="R23" s="611"/>
      <c r="S23" s="616"/>
    </row>
    <row r="24" spans="1:19" x14ac:dyDescent="0.3">
      <c r="A24" s="270"/>
      <c r="B24" s="268"/>
      <c r="C24" s="615"/>
      <c r="D24" s="611"/>
      <c r="E24" s="611"/>
      <c r="F24" s="616"/>
      <c r="G24" s="268"/>
      <c r="H24" s="611"/>
      <c r="I24" s="611"/>
      <c r="J24" s="611"/>
      <c r="K24" s="611"/>
      <c r="L24" s="268"/>
      <c r="M24" s="615"/>
      <c r="N24" s="611"/>
      <c r="O24" s="611"/>
      <c r="P24" s="611"/>
      <c r="Q24" s="611"/>
      <c r="R24" s="611"/>
      <c r="S24" s="616"/>
    </row>
    <row r="25" spans="1:19" x14ac:dyDescent="0.3">
      <c r="A25" s="270"/>
      <c r="B25" s="268"/>
      <c r="C25" s="615"/>
      <c r="D25" s="611"/>
      <c r="E25" s="611"/>
      <c r="F25" s="616"/>
      <c r="G25" s="268"/>
      <c r="H25" s="611"/>
      <c r="I25" s="611"/>
      <c r="J25" s="611"/>
      <c r="K25" s="611"/>
      <c r="L25" s="268"/>
      <c r="M25" s="615"/>
      <c r="N25" s="611"/>
      <c r="O25" s="611"/>
      <c r="P25" s="611"/>
      <c r="Q25" s="611"/>
      <c r="R25" s="611"/>
      <c r="S25" s="616"/>
    </row>
    <row r="26" spans="1:19" x14ac:dyDescent="0.3">
      <c r="A26" s="270"/>
      <c r="B26" s="268"/>
      <c r="C26" s="615"/>
      <c r="D26" s="611"/>
      <c r="E26" s="611"/>
      <c r="F26" s="616"/>
      <c r="G26" s="268"/>
      <c r="H26" s="611"/>
      <c r="I26" s="611"/>
      <c r="J26" s="611"/>
      <c r="K26" s="611"/>
      <c r="L26" s="268"/>
      <c r="M26" s="615"/>
      <c r="N26" s="611"/>
      <c r="O26" s="611"/>
      <c r="P26" s="611"/>
      <c r="Q26" s="611"/>
      <c r="R26" s="611"/>
      <c r="S26" s="616"/>
    </row>
    <row r="27" spans="1:19" x14ac:dyDescent="0.3">
      <c r="A27" s="270"/>
      <c r="B27" s="268"/>
      <c r="C27" s="615"/>
      <c r="D27" s="611"/>
      <c r="E27" s="611"/>
      <c r="F27" s="616"/>
      <c r="G27" s="268"/>
      <c r="H27" s="268"/>
      <c r="I27" s="268"/>
      <c r="J27" s="268"/>
      <c r="K27" s="268"/>
      <c r="L27" s="268"/>
      <c r="M27" s="615"/>
      <c r="N27" s="611"/>
      <c r="O27" s="611"/>
      <c r="P27" s="611"/>
      <c r="Q27" s="611"/>
      <c r="R27" s="611"/>
      <c r="S27" s="616"/>
    </row>
    <row r="28" spans="1:19" x14ac:dyDescent="0.3">
      <c r="A28" s="270"/>
      <c r="B28" s="268"/>
      <c r="C28" s="615"/>
      <c r="D28" s="611"/>
      <c r="E28" s="611"/>
      <c r="F28" s="616"/>
      <c r="G28" s="268"/>
      <c r="H28" s="268"/>
      <c r="I28" s="268"/>
      <c r="J28" s="268"/>
      <c r="K28" s="268"/>
      <c r="L28" s="268"/>
      <c r="M28" s="615"/>
      <c r="N28" s="611"/>
      <c r="O28" s="611"/>
      <c r="P28" s="611"/>
      <c r="Q28" s="611"/>
      <c r="R28" s="611"/>
      <c r="S28" s="616"/>
    </row>
    <row r="29" spans="1:19" x14ac:dyDescent="0.3">
      <c r="A29" s="270"/>
      <c r="B29" s="268"/>
      <c r="C29" s="615"/>
      <c r="D29" s="611"/>
      <c r="E29" s="611"/>
      <c r="F29" s="616"/>
      <c r="G29" s="268"/>
      <c r="H29" s="268"/>
      <c r="I29" s="268"/>
      <c r="J29" s="268"/>
      <c r="K29" s="268"/>
      <c r="L29" s="268"/>
      <c r="M29" s="615"/>
      <c r="N29" s="611"/>
      <c r="O29" s="611"/>
      <c r="P29" s="611"/>
      <c r="Q29" s="611"/>
      <c r="R29" s="611"/>
      <c r="S29" s="616"/>
    </row>
    <row r="30" spans="1:19" x14ac:dyDescent="0.3">
      <c r="A30" s="270"/>
      <c r="B30" s="268"/>
      <c r="C30" s="615"/>
      <c r="D30" s="611"/>
      <c r="E30" s="611"/>
      <c r="F30" s="616"/>
      <c r="G30" s="268"/>
      <c r="H30" s="268"/>
      <c r="I30" s="268"/>
      <c r="J30" s="268"/>
      <c r="K30" s="268"/>
      <c r="L30" s="268"/>
      <c r="M30" s="615"/>
      <c r="N30" s="611"/>
      <c r="O30" s="611"/>
      <c r="P30" s="611"/>
      <c r="Q30" s="611"/>
      <c r="R30" s="611"/>
      <c r="S30" s="616"/>
    </row>
    <row r="31" spans="1:19" ht="15" thickBot="1" x14ac:dyDescent="0.35">
      <c r="A31" s="270"/>
      <c r="B31" s="268"/>
      <c r="C31" s="617"/>
      <c r="D31" s="618"/>
      <c r="E31" s="618"/>
      <c r="F31" s="619"/>
      <c r="G31" s="268"/>
      <c r="H31" s="268"/>
      <c r="I31" s="268"/>
      <c r="J31" s="268"/>
      <c r="K31" s="268"/>
      <c r="L31" s="268"/>
      <c r="M31" s="615"/>
      <c r="N31" s="611"/>
      <c r="O31" s="611"/>
      <c r="P31" s="611"/>
      <c r="Q31" s="611"/>
      <c r="R31" s="611"/>
      <c r="S31" s="616"/>
    </row>
    <row r="32" spans="1:19" x14ac:dyDescent="0.3">
      <c r="A32" s="270"/>
      <c r="B32" s="268"/>
      <c r="C32" s="268"/>
      <c r="D32" s="268"/>
      <c r="E32" s="268"/>
      <c r="F32" s="268"/>
      <c r="G32" s="268"/>
      <c r="H32" s="268"/>
      <c r="I32" s="268"/>
      <c r="J32" s="268"/>
      <c r="K32" s="268"/>
      <c r="L32" s="268"/>
      <c r="M32" s="615"/>
      <c r="N32" s="611"/>
      <c r="O32" s="611"/>
      <c r="P32" s="611"/>
      <c r="Q32" s="611"/>
      <c r="R32" s="611"/>
      <c r="S32" s="616"/>
    </row>
    <row r="33" spans="1:19" ht="15" thickBot="1" x14ac:dyDescent="0.35">
      <c r="A33" s="621" t="s">
        <v>2047</v>
      </c>
      <c r="B33" s="602"/>
      <c r="C33" s="602"/>
      <c r="D33" s="602"/>
      <c r="E33" s="602"/>
      <c r="F33" s="602"/>
      <c r="G33" s="268"/>
      <c r="H33" s="268"/>
      <c r="I33" s="268"/>
      <c r="J33" s="268"/>
      <c r="K33" s="268"/>
      <c r="L33" s="268"/>
      <c r="M33" s="615"/>
      <c r="N33" s="611"/>
      <c r="O33" s="611"/>
      <c r="P33" s="611"/>
      <c r="Q33" s="611"/>
      <c r="R33" s="611"/>
      <c r="S33" s="616"/>
    </row>
    <row r="34" spans="1:19" x14ac:dyDescent="0.3">
      <c r="A34" s="627" t="s">
        <v>2060</v>
      </c>
      <c r="B34" s="628"/>
      <c r="C34" s="612" t="s">
        <v>2054</v>
      </c>
      <c r="D34" s="613"/>
      <c r="E34" s="613"/>
      <c r="F34" s="614"/>
      <c r="G34" s="268"/>
      <c r="H34" s="268"/>
      <c r="I34" s="268"/>
      <c r="J34" s="268"/>
      <c r="K34" s="268"/>
      <c r="L34" s="268"/>
      <c r="M34" s="615"/>
      <c r="N34" s="611"/>
      <c r="O34" s="611"/>
      <c r="P34" s="611"/>
      <c r="Q34" s="611"/>
      <c r="R34" s="611"/>
      <c r="S34" s="616"/>
    </row>
    <row r="35" spans="1:19" ht="15" thickBot="1" x14ac:dyDescent="0.35">
      <c r="A35" s="627"/>
      <c r="B35" s="628"/>
      <c r="C35" s="615"/>
      <c r="D35" s="611"/>
      <c r="E35" s="611"/>
      <c r="F35" s="616"/>
      <c r="G35" s="268"/>
      <c r="H35" s="268"/>
      <c r="I35" s="268"/>
      <c r="J35" s="268"/>
      <c r="K35" s="268"/>
      <c r="L35" s="268"/>
      <c r="M35" s="617"/>
      <c r="N35" s="618"/>
      <c r="O35" s="618"/>
      <c r="P35" s="618"/>
      <c r="Q35" s="618"/>
      <c r="R35" s="618"/>
      <c r="S35" s="619"/>
    </row>
    <row r="36" spans="1:19" x14ac:dyDescent="0.3">
      <c r="A36" s="627"/>
      <c r="B36" s="628"/>
      <c r="C36" s="615"/>
      <c r="D36" s="611"/>
      <c r="E36" s="611"/>
      <c r="F36" s="616"/>
      <c r="G36" s="268"/>
      <c r="H36" s="268"/>
      <c r="I36" s="268"/>
      <c r="J36" s="268"/>
      <c r="K36" s="268"/>
      <c r="L36" s="268"/>
      <c r="M36" s="268"/>
      <c r="N36" s="268"/>
      <c r="O36" s="268"/>
      <c r="P36" s="268"/>
      <c r="Q36" s="268"/>
      <c r="R36" s="268"/>
      <c r="S36" s="269"/>
    </row>
    <row r="37" spans="1:19" x14ac:dyDescent="0.3">
      <c r="A37" s="270"/>
      <c r="B37" s="268"/>
      <c r="C37" s="615"/>
      <c r="D37" s="611"/>
      <c r="E37" s="611"/>
      <c r="F37" s="616"/>
      <c r="G37" s="268"/>
      <c r="H37" s="268"/>
      <c r="I37" s="268"/>
      <c r="J37" s="268"/>
      <c r="K37" s="268"/>
      <c r="L37" s="268"/>
      <c r="M37" s="268"/>
      <c r="N37" s="268"/>
      <c r="O37" s="268"/>
      <c r="P37" s="268"/>
      <c r="Q37" s="268"/>
      <c r="R37" s="268"/>
      <c r="S37" s="269"/>
    </row>
    <row r="38" spans="1:19" x14ac:dyDescent="0.3">
      <c r="A38" s="270"/>
      <c r="B38" s="268"/>
      <c r="C38" s="615"/>
      <c r="D38" s="611"/>
      <c r="E38" s="611"/>
      <c r="F38" s="616"/>
      <c r="G38" s="268"/>
      <c r="H38" s="602" t="s">
        <v>2055</v>
      </c>
      <c r="I38" s="602"/>
      <c r="J38" s="602"/>
      <c r="K38" s="602"/>
      <c r="L38" s="602"/>
      <c r="M38" s="602"/>
      <c r="N38" s="602"/>
      <c r="O38" s="602"/>
      <c r="P38" s="602"/>
      <c r="Q38" s="602"/>
      <c r="R38" s="602"/>
      <c r="S38" s="603"/>
    </row>
    <row r="39" spans="1:19" ht="15" thickBot="1" x14ac:dyDescent="0.35">
      <c r="A39" s="270"/>
      <c r="B39" s="268"/>
      <c r="C39" s="615"/>
      <c r="D39" s="611"/>
      <c r="E39" s="611"/>
      <c r="F39" s="616"/>
      <c r="G39" s="268"/>
      <c r="H39" s="268"/>
      <c r="I39" s="268"/>
      <c r="J39" s="268"/>
      <c r="K39" s="268"/>
      <c r="L39" s="268"/>
      <c r="M39" s="268"/>
      <c r="N39" s="268"/>
      <c r="O39" s="268"/>
      <c r="P39" s="268"/>
      <c r="Q39" s="268"/>
      <c r="R39" s="268"/>
      <c r="S39" s="269"/>
    </row>
    <row r="40" spans="1:19" x14ac:dyDescent="0.3">
      <c r="A40" s="270"/>
      <c r="B40" s="268"/>
      <c r="C40" s="615"/>
      <c r="D40" s="611"/>
      <c r="E40" s="611"/>
      <c r="F40" s="616"/>
      <c r="G40" s="268"/>
      <c r="H40" s="602" t="s">
        <v>2057</v>
      </c>
      <c r="I40" s="602"/>
      <c r="J40" s="602"/>
      <c r="K40" s="268"/>
      <c r="L40" s="602" t="s">
        <v>2056</v>
      </c>
      <c r="M40" s="602"/>
      <c r="N40" s="602"/>
      <c r="O40" s="612" t="s">
        <v>2054</v>
      </c>
      <c r="P40" s="613"/>
      <c r="Q40" s="613"/>
      <c r="R40" s="613"/>
      <c r="S40" s="614"/>
    </row>
    <row r="41" spans="1:19" x14ac:dyDescent="0.3">
      <c r="A41" s="270"/>
      <c r="B41" s="268"/>
      <c r="C41" s="615"/>
      <c r="D41" s="611"/>
      <c r="E41" s="611"/>
      <c r="F41" s="616"/>
      <c r="G41" s="268"/>
      <c r="H41" s="625">
        <f>'Amend#3 Overview'!C8</f>
        <v>0</v>
      </c>
      <c r="I41" s="625"/>
      <c r="J41" s="625"/>
      <c r="K41" s="268"/>
      <c r="L41" s="626"/>
      <c r="M41" s="626"/>
      <c r="N41" s="626"/>
      <c r="O41" s="615"/>
      <c r="P41" s="611"/>
      <c r="Q41" s="611"/>
      <c r="R41" s="611"/>
      <c r="S41" s="616"/>
    </row>
    <row r="42" spans="1:19" x14ac:dyDescent="0.3">
      <c r="A42" s="270"/>
      <c r="B42" s="268"/>
      <c r="C42" s="615"/>
      <c r="D42" s="611"/>
      <c r="E42" s="611"/>
      <c r="F42" s="616"/>
      <c r="G42" s="268"/>
      <c r="H42" s="268"/>
      <c r="I42" s="268"/>
      <c r="J42" s="268"/>
      <c r="K42" s="268"/>
      <c r="L42" s="268"/>
      <c r="M42" s="268"/>
      <c r="N42" s="268"/>
      <c r="O42" s="615"/>
      <c r="P42" s="611"/>
      <c r="Q42" s="611"/>
      <c r="R42" s="611"/>
      <c r="S42" s="616"/>
    </row>
    <row r="43" spans="1:19" x14ac:dyDescent="0.3">
      <c r="A43" s="270"/>
      <c r="B43" s="268"/>
      <c r="C43" s="615"/>
      <c r="D43" s="611"/>
      <c r="E43" s="611"/>
      <c r="F43" s="616"/>
      <c r="G43" s="268"/>
      <c r="H43" s="602" t="s">
        <v>2058</v>
      </c>
      <c r="I43" s="602"/>
      <c r="J43" s="602"/>
      <c r="K43" s="268"/>
      <c r="L43" s="602" t="s">
        <v>2059</v>
      </c>
      <c r="M43" s="602"/>
      <c r="N43" s="602"/>
      <c r="O43" s="615"/>
      <c r="P43" s="611"/>
      <c r="Q43" s="611"/>
      <c r="R43" s="611"/>
      <c r="S43" s="616"/>
    </row>
    <row r="44" spans="1:19" ht="15" thickBot="1" x14ac:dyDescent="0.35">
      <c r="A44" s="270"/>
      <c r="B44" s="268"/>
      <c r="C44" s="615"/>
      <c r="D44" s="611"/>
      <c r="E44" s="611"/>
      <c r="F44" s="616"/>
      <c r="G44" s="268"/>
      <c r="H44" s="601" t="s">
        <v>2061</v>
      </c>
      <c r="I44" s="601"/>
      <c r="J44" s="601"/>
      <c r="K44" s="268"/>
      <c r="L44" s="601"/>
      <c r="M44" s="601"/>
      <c r="N44" s="601"/>
      <c r="O44" s="617"/>
      <c r="P44" s="618"/>
      <c r="Q44" s="618"/>
      <c r="R44" s="618"/>
      <c r="S44" s="619"/>
    </row>
    <row r="45" spans="1:19" ht="15" thickBot="1" x14ac:dyDescent="0.35">
      <c r="A45" s="270"/>
      <c r="B45" s="268"/>
      <c r="C45" s="615"/>
      <c r="D45" s="611"/>
      <c r="E45" s="611"/>
      <c r="F45" s="616"/>
      <c r="G45" s="268"/>
      <c r="H45" s="268"/>
      <c r="I45" s="268"/>
      <c r="J45" s="268"/>
      <c r="K45" s="268"/>
      <c r="L45" s="268"/>
      <c r="M45" s="268"/>
      <c r="N45" s="268"/>
      <c r="O45" s="268"/>
      <c r="P45" s="268"/>
      <c r="Q45" s="268"/>
      <c r="R45" s="268"/>
      <c r="S45" s="269"/>
    </row>
    <row r="46" spans="1:19" x14ac:dyDescent="0.3">
      <c r="A46" s="270"/>
      <c r="B46" s="268"/>
      <c r="C46" s="615"/>
      <c r="D46" s="611"/>
      <c r="E46" s="611"/>
      <c r="F46" s="616"/>
      <c r="G46" s="268"/>
      <c r="H46" s="602" t="s">
        <v>2057</v>
      </c>
      <c r="I46" s="602"/>
      <c r="J46" s="602"/>
      <c r="K46" s="268"/>
      <c r="L46" s="602" t="s">
        <v>2056</v>
      </c>
      <c r="M46" s="602"/>
      <c r="N46" s="602"/>
      <c r="O46" s="612" t="s">
        <v>2054</v>
      </c>
      <c r="P46" s="613"/>
      <c r="Q46" s="613"/>
      <c r="R46" s="613"/>
      <c r="S46" s="614"/>
    </row>
    <row r="47" spans="1:19" x14ac:dyDescent="0.3">
      <c r="A47" s="270"/>
      <c r="B47" s="268"/>
      <c r="C47" s="615"/>
      <c r="D47" s="611"/>
      <c r="E47" s="611"/>
      <c r="F47" s="616"/>
      <c r="G47" s="268"/>
      <c r="H47" s="625">
        <f>'Amend#3 Overview'!C8</f>
        <v>0</v>
      </c>
      <c r="I47" s="625"/>
      <c r="J47" s="625"/>
      <c r="K47" s="268"/>
      <c r="L47" s="626"/>
      <c r="M47" s="626"/>
      <c r="N47" s="626"/>
      <c r="O47" s="615"/>
      <c r="P47" s="611"/>
      <c r="Q47" s="611"/>
      <c r="R47" s="611"/>
      <c r="S47" s="616"/>
    </row>
    <row r="48" spans="1:19" x14ac:dyDescent="0.3">
      <c r="A48" s="270"/>
      <c r="B48" s="268"/>
      <c r="C48" s="615"/>
      <c r="D48" s="611"/>
      <c r="E48" s="611"/>
      <c r="F48" s="616"/>
      <c r="G48" s="268"/>
      <c r="H48" s="268"/>
      <c r="I48" s="268"/>
      <c r="J48" s="268"/>
      <c r="K48" s="268"/>
      <c r="L48" s="268"/>
      <c r="M48" s="268"/>
      <c r="N48" s="268"/>
      <c r="O48" s="615"/>
      <c r="P48" s="611"/>
      <c r="Q48" s="611"/>
      <c r="R48" s="611"/>
      <c r="S48" s="616"/>
    </row>
    <row r="49" spans="1:19" x14ac:dyDescent="0.3">
      <c r="A49" s="270"/>
      <c r="B49" s="268"/>
      <c r="C49" s="615"/>
      <c r="D49" s="611"/>
      <c r="E49" s="611"/>
      <c r="F49" s="616"/>
      <c r="G49" s="268"/>
      <c r="H49" s="602" t="s">
        <v>2058</v>
      </c>
      <c r="I49" s="602"/>
      <c r="J49" s="602"/>
      <c r="K49" s="268"/>
      <c r="L49" s="602" t="s">
        <v>2059</v>
      </c>
      <c r="M49" s="602"/>
      <c r="N49" s="602"/>
      <c r="O49" s="615"/>
      <c r="P49" s="611"/>
      <c r="Q49" s="611"/>
      <c r="R49" s="611"/>
      <c r="S49" s="616"/>
    </row>
    <row r="50" spans="1:19" ht="15" thickBot="1" x14ac:dyDescent="0.35">
      <c r="A50" s="270"/>
      <c r="B50" s="268"/>
      <c r="C50" s="615"/>
      <c r="D50" s="611"/>
      <c r="E50" s="611"/>
      <c r="F50" s="616"/>
      <c r="G50" s="268"/>
      <c r="H50" s="601" t="s">
        <v>2061</v>
      </c>
      <c r="I50" s="601"/>
      <c r="J50" s="601"/>
      <c r="K50" s="268"/>
      <c r="L50" s="601"/>
      <c r="M50" s="601"/>
      <c r="N50" s="601"/>
      <c r="O50" s="617"/>
      <c r="P50" s="618"/>
      <c r="Q50" s="618"/>
      <c r="R50" s="618"/>
      <c r="S50" s="619"/>
    </row>
    <row r="51" spans="1:19" ht="15" thickBot="1" x14ac:dyDescent="0.35">
      <c r="A51" s="270"/>
      <c r="B51" s="268"/>
      <c r="C51" s="617"/>
      <c r="D51" s="618"/>
      <c r="E51" s="618"/>
      <c r="F51" s="619"/>
      <c r="G51" s="268"/>
      <c r="H51" s="268"/>
      <c r="I51" s="268"/>
      <c r="J51" s="268"/>
      <c r="K51" s="268"/>
      <c r="L51" s="268"/>
      <c r="M51" s="268"/>
      <c r="N51" s="268"/>
      <c r="O51" s="268"/>
      <c r="P51" s="268"/>
      <c r="Q51" s="268"/>
      <c r="R51" s="268"/>
      <c r="S51" s="269"/>
    </row>
    <row r="52" spans="1:19" x14ac:dyDescent="0.3">
      <c r="A52" s="270"/>
      <c r="B52" s="268"/>
      <c r="C52" s="268"/>
      <c r="D52" s="268"/>
      <c r="E52" s="268"/>
      <c r="F52" s="268"/>
      <c r="G52" s="268"/>
      <c r="H52" s="602" t="s">
        <v>2057</v>
      </c>
      <c r="I52" s="602"/>
      <c r="J52" s="602"/>
      <c r="K52" s="268"/>
      <c r="L52" s="602" t="s">
        <v>2056</v>
      </c>
      <c r="M52" s="602"/>
      <c r="N52" s="602"/>
      <c r="O52" s="612" t="s">
        <v>2054</v>
      </c>
      <c r="P52" s="613"/>
      <c r="Q52" s="613"/>
      <c r="R52" s="613"/>
      <c r="S52" s="614"/>
    </row>
    <row r="53" spans="1:19" ht="15" thickBot="1" x14ac:dyDescent="0.35">
      <c r="A53" s="621" t="s">
        <v>2048</v>
      </c>
      <c r="B53" s="602"/>
      <c r="C53" s="602"/>
      <c r="D53" s="602"/>
      <c r="E53" s="602"/>
      <c r="F53" s="602"/>
      <c r="G53" s="268"/>
      <c r="H53" s="625">
        <f>'Amend#3 Overview'!C8</f>
        <v>0</v>
      </c>
      <c r="I53" s="625"/>
      <c r="J53" s="625"/>
      <c r="K53" s="268"/>
      <c r="L53" s="626"/>
      <c r="M53" s="626"/>
      <c r="N53" s="626"/>
      <c r="O53" s="615"/>
      <c r="P53" s="611"/>
      <c r="Q53" s="611"/>
      <c r="R53" s="611"/>
      <c r="S53" s="616"/>
    </row>
    <row r="54" spans="1:19" x14ac:dyDescent="0.3">
      <c r="A54" s="627" t="s">
        <v>2060</v>
      </c>
      <c r="B54" s="628"/>
      <c r="C54" s="612" t="s">
        <v>2054</v>
      </c>
      <c r="D54" s="613"/>
      <c r="E54" s="613"/>
      <c r="F54" s="614"/>
      <c r="G54" s="268"/>
      <c r="H54" s="268"/>
      <c r="I54" s="268"/>
      <c r="J54" s="268"/>
      <c r="K54" s="268"/>
      <c r="L54" s="268"/>
      <c r="M54" s="268"/>
      <c r="N54" s="268"/>
      <c r="O54" s="615"/>
      <c r="P54" s="611"/>
      <c r="Q54" s="611"/>
      <c r="R54" s="611"/>
      <c r="S54" s="616"/>
    </row>
    <row r="55" spans="1:19" x14ac:dyDescent="0.3">
      <c r="A55" s="627"/>
      <c r="B55" s="628"/>
      <c r="C55" s="615"/>
      <c r="D55" s="611"/>
      <c r="E55" s="611"/>
      <c r="F55" s="616"/>
      <c r="G55" s="268"/>
      <c r="H55" s="602" t="s">
        <v>2058</v>
      </c>
      <c r="I55" s="602"/>
      <c r="J55" s="602"/>
      <c r="K55" s="268"/>
      <c r="L55" s="602" t="s">
        <v>2059</v>
      </c>
      <c r="M55" s="602"/>
      <c r="N55" s="602"/>
      <c r="O55" s="615"/>
      <c r="P55" s="611"/>
      <c r="Q55" s="611"/>
      <c r="R55" s="611"/>
      <c r="S55" s="616"/>
    </row>
    <row r="56" spans="1:19" ht="15" thickBot="1" x14ac:dyDescent="0.35">
      <c r="A56" s="627"/>
      <c r="B56" s="628"/>
      <c r="C56" s="615"/>
      <c r="D56" s="611"/>
      <c r="E56" s="611"/>
      <c r="F56" s="616"/>
      <c r="G56" s="268"/>
      <c r="H56" s="601" t="s">
        <v>2061</v>
      </c>
      <c r="I56" s="601"/>
      <c r="J56" s="601"/>
      <c r="K56" s="268"/>
      <c r="L56" s="601"/>
      <c r="M56" s="601"/>
      <c r="N56" s="601"/>
      <c r="O56" s="617"/>
      <c r="P56" s="618"/>
      <c r="Q56" s="618"/>
      <c r="R56" s="618"/>
      <c r="S56" s="619"/>
    </row>
    <row r="57" spans="1:19" ht="15" thickBot="1" x14ac:dyDescent="0.35">
      <c r="A57" s="270"/>
      <c r="B57" s="268"/>
      <c r="C57" s="615"/>
      <c r="D57" s="611"/>
      <c r="E57" s="611"/>
      <c r="F57" s="616"/>
      <c r="G57" s="268"/>
      <c r="H57" s="268"/>
      <c r="I57" s="268"/>
      <c r="J57" s="268"/>
      <c r="K57" s="268"/>
      <c r="L57" s="268"/>
      <c r="M57" s="268"/>
      <c r="N57" s="268"/>
      <c r="O57" s="268"/>
      <c r="P57" s="268"/>
      <c r="Q57" s="268"/>
      <c r="R57" s="268"/>
      <c r="S57" s="269"/>
    </row>
    <row r="58" spans="1:19" x14ac:dyDescent="0.3">
      <c r="A58" s="270"/>
      <c r="B58" s="268"/>
      <c r="C58" s="615"/>
      <c r="D58" s="611"/>
      <c r="E58" s="611"/>
      <c r="F58" s="616"/>
      <c r="G58" s="268"/>
      <c r="H58" s="602" t="s">
        <v>2057</v>
      </c>
      <c r="I58" s="602"/>
      <c r="J58" s="602"/>
      <c r="K58" s="268"/>
      <c r="L58" s="602" t="s">
        <v>2056</v>
      </c>
      <c r="M58" s="602"/>
      <c r="N58" s="602"/>
      <c r="O58" s="612" t="s">
        <v>2054</v>
      </c>
      <c r="P58" s="613"/>
      <c r="Q58" s="613"/>
      <c r="R58" s="613"/>
      <c r="S58" s="614"/>
    </row>
    <row r="59" spans="1:19" x14ac:dyDescent="0.3">
      <c r="A59" s="270"/>
      <c r="B59" s="268"/>
      <c r="C59" s="615"/>
      <c r="D59" s="611"/>
      <c r="E59" s="611"/>
      <c r="F59" s="616"/>
      <c r="G59" s="268"/>
      <c r="H59" s="625">
        <f>'Amend#3 Overview'!C8</f>
        <v>0</v>
      </c>
      <c r="I59" s="625"/>
      <c r="J59" s="625"/>
      <c r="K59" s="268"/>
      <c r="L59" s="626"/>
      <c r="M59" s="626"/>
      <c r="N59" s="626"/>
      <c r="O59" s="615"/>
      <c r="P59" s="611"/>
      <c r="Q59" s="611"/>
      <c r="R59" s="611"/>
      <c r="S59" s="616"/>
    </row>
    <row r="60" spans="1:19" x14ac:dyDescent="0.3">
      <c r="A60" s="270"/>
      <c r="B60" s="268"/>
      <c r="C60" s="615"/>
      <c r="D60" s="611"/>
      <c r="E60" s="611"/>
      <c r="F60" s="616"/>
      <c r="G60" s="268"/>
      <c r="H60" s="268"/>
      <c r="I60" s="268"/>
      <c r="J60" s="268"/>
      <c r="K60" s="268"/>
      <c r="L60" s="268"/>
      <c r="M60" s="268"/>
      <c r="N60" s="268"/>
      <c r="O60" s="615"/>
      <c r="P60" s="611"/>
      <c r="Q60" s="611"/>
      <c r="R60" s="611"/>
      <c r="S60" s="616"/>
    </row>
    <row r="61" spans="1:19" x14ac:dyDescent="0.3">
      <c r="A61" s="270"/>
      <c r="B61" s="268"/>
      <c r="C61" s="615"/>
      <c r="D61" s="611"/>
      <c r="E61" s="611"/>
      <c r="F61" s="616"/>
      <c r="G61" s="268"/>
      <c r="H61" s="602" t="s">
        <v>2058</v>
      </c>
      <c r="I61" s="602"/>
      <c r="J61" s="602"/>
      <c r="K61" s="268"/>
      <c r="L61" s="602" t="s">
        <v>2059</v>
      </c>
      <c r="M61" s="602"/>
      <c r="N61" s="602"/>
      <c r="O61" s="615"/>
      <c r="P61" s="611"/>
      <c r="Q61" s="611"/>
      <c r="R61" s="611"/>
      <c r="S61" s="616"/>
    </row>
    <row r="62" spans="1:19" ht="15" thickBot="1" x14ac:dyDescent="0.35">
      <c r="A62" s="270"/>
      <c r="B62" s="268"/>
      <c r="C62" s="615"/>
      <c r="D62" s="611"/>
      <c r="E62" s="611"/>
      <c r="F62" s="616"/>
      <c r="G62" s="268"/>
      <c r="H62" s="601" t="s">
        <v>2061</v>
      </c>
      <c r="I62" s="601"/>
      <c r="J62" s="601"/>
      <c r="K62" s="268"/>
      <c r="L62" s="601"/>
      <c r="M62" s="601"/>
      <c r="N62" s="601"/>
      <c r="O62" s="617"/>
      <c r="P62" s="618"/>
      <c r="Q62" s="618"/>
      <c r="R62" s="618"/>
      <c r="S62" s="619"/>
    </row>
    <row r="63" spans="1:19" x14ac:dyDescent="0.3">
      <c r="A63" s="270"/>
      <c r="B63" s="268"/>
      <c r="C63" s="615"/>
      <c r="D63" s="611"/>
      <c r="E63" s="611"/>
      <c r="F63" s="616"/>
      <c r="G63" s="268"/>
      <c r="H63" s="268"/>
      <c r="I63" s="268"/>
      <c r="J63" s="268"/>
      <c r="K63" s="268"/>
      <c r="L63" s="268"/>
      <c r="M63" s="268"/>
      <c r="N63" s="268"/>
      <c r="O63" s="268"/>
      <c r="P63" s="268"/>
      <c r="Q63" s="268"/>
      <c r="R63" s="268"/>
      <c r="S63" s="269"/>
    </row>
    <row r="64" spans="1:19" x14ac:dyDescent="0.3">
      <c r="A64" s="270"/>
      <c r="B64" s="268"/>
      <c r="C64" s="615"/>
      <c r="D64" s="611"/>
      <c r="E64" s="611"/>
      <c r="F64" s="616"/>
      <c r="G64" s="268"/>
      <c r="H64" s="268"/>
      <c r="I64" s="268"/>
      <c r="J64" s="268"/>
      <c r="K64" s="268"/>
      <c r="L64" s="268"/>
      <c r="M64" s="268"/>
      <c r="N64" s="268"/>
      <c r="O64" s="268"/>
      <c r="P64" s="268"/>
      <c r="Q64" s="268"/>
      <c r="R64" s="268"/>
      <c r="S64" s="269"/>
    </row>
    <row r="65" spans="1:19" x14ac:dyDescent="0.3">
      <c r="A65" s="270"/>
      <c r="B65" s="268"/>
      <c r="C65" s="615"/>
      <c r="D65" s="611"/>
      <c r="E65" s="611"/>
      <c r="F65" s="616"/>
      <c r="G65" s="268"/>
      <c r="H65" s="268"/>
      <c r="I65" s="268"/>
      <c r="J65" s="268"/>
      <c r="K65" s="268"/>
      <c r="L65" s="268"/>
      <c r="M65" s="268"/>
      <c r="N65" s="268"/>
      <c r="O65" s="268"/>
      <c r="P65" s="268"/>
      <c r="Q65" s="268"/>
      <c r="R65" s="268"/>
      <c r="S65" s="269"/>
    </row>
    <row r="66" spans="1:19" x14ac:dyDescent="0.3">
      <c r="A66" s="270"/>
      <c r="B66" s="268"/>
      <c r="C66" s="615"/>
      <c r="D66" s="611"/>
      <c r="E66" s="611"/>
      <c r="F66" s="616"/>
      <c r="G66" s="268"/>
      <c r="H66" s="268"/>
      <c r="I66" s="268"/>
      <c r="J66" s="268"/>
      <c r="K66" s="268"/>
      <c r="L66" s="268"/>
      <c r="M66" s="268"/>
      <c r="N66" s="268"/>
      <c r="O66" s="268"/>
      <c r="P66" s="268"/>
      <c r="Q66" s="268"/>
      <c r="R66" s="268"/>
      <c r="S66" s="269"/>
    </row>
    <row r="67" spans="1:19" x14ac:dyDescent="0.3">
      <c r="A67" s="270"/>
      <c r="B67" s="268"/>
      <c r="C67" s="615"/>
      <c r="D67" s="611"/>
      <c r="E67" s="611"/>
      <c r="F67" s="616"/>
      <c r="G67" s="268"/>
      <c r="H67" s="268"/>
      <c r="I67" s="268"/>
      <c r="J67" s="268"/>
      <c r="K67" s="268"/>
      <c r="L67" s="268"/>
      <c r="M67" s="268"/>
      <c r="N67" s="268"/>
      <c r="O67" s="268"/>
      <c r="P67" s="268"/>
      <c r="Q67" s="268"/>
      <c r="R67" s="268"/>
      <c r="S67" s="269"/>
    </row>
    <row r="68" spans="1:19" x14ac:dyDescent="0.3">
      <c r="A68" s="270"/>
      <c r="B68" s="268"/>
      <c r="C68" s="615"/>
      <c r="D68" s="611"/>
      <c r="E68" s="611"/>
      <c r="F68" s="616"/>
      <c r="G68" s="268"/>
      <c r="H68" s="268"/>
      <c r="I68" s="268"/>
      <c r="J68" s="268"/>
      <c r="K68" s="268"/>
      <c r="L68" s="268"/>
      <c r="M68" s="268"/>
      <c r="N68" s="268"/>
      <c r="O68" s="268"/>
      <c r="P68" s="268"/>
      <c r="Q68" s="268"/>
      <c r="R68" s="268"/>
      <c r="S68" s="269"/>
    </row>
    <row r="69" spans="1:19" x14ac:dyDescent="0.3">
      <c r="A69" s="270"/>
      <c r="B69" s="268"/>
      <c r="C69" s="615"/>
      <c r="D69" s="611"/>
      <c r="E69" s="611"/>
      <c r="F69" s="616"/>
      <c r="G69" s="268"/>
      <c r="H69" s="268"/>
      <c r="I69" s="268"/>
      <c r="J69" s="268"/>
      <c r="K69" s="268"/>
      <c r="L69" s="268"/>
      <c r="M69" s="268"/>
      <c r="N69" s="268"/>
      <c r="O69" s="268"/>
      <c r="P69" s="268"/>
      <c r="Q69" s="268"/>
      <c r="R69" s="268"/>
      <c r="S69" s="269"/>
    </row>
    <row r="70" spans="1:19" x14ac:dyDescent="0.3">
      <c r="A70" s="270"/>
      <c r="B70" s="268"/>
      <c r="C70" s="615"/>
      <c r="D70" s="611"/>
      <c r="E70" s="611"/>
      <c r="F70" s="616"/>
      <c r="G70" s="268"/>
      <c r="H70" s="268"/>
      <c r="I70" s="268"/>
      <c r="J70" s="268"/>
      <c r="K70" s="268"/>
      <c r="L70" s="268"/>
      <c r="M70" s="268"/>
      <c r="N70" s="268"/>
      <c r="O70" s="268"/>
      <c r="P70" s="268"/>
      <c r="Q70" s="268"/>
      <c r="R70" s="268"/>
      <c r="S70" s="269"/>
    </row>
    <row r="71" spans="1:19" ht="15" thickBot="1" x14ac:dyDescent="0.35">
      <c r="A71" s="272"/>
      <c r="B71" s="273"/>
      <c r="C71" s="617"/>
      <c r="D71" s="618"/>
      <c r="E71" s="618"/>
      <c r="F71" s="619"/>
      <c r="G71" s="273"/>
      <c r="H71" s="273"/>
      <c r="I71" s="273"/>
      <c r="J71" s="273"/>
      <c r="K71" s="273"/>
      <c r="L71" s="273"/>
      <c r="M71" s="273"/>
      <c r="N71" s="273"/>
      <c r="O71" s="273"/>
      <c r="P71" s="273"/>
      <c r="Q71" s="273"/>
      <c r="R71" s="273"/>
      <c r="S71" s="274"/>
    </row>
    <row r="72" spans="1:19" x14ac:dyDescent="0.3">
      <c r="G72" s="174"/>
    </row>
  </sheetData>
  <sheetProtection algorithmName="SHA-512" hashValue="AqDnlr+IbJ07t/pPA8N0ItYY4qrWa/VnSj9FNEuDLcx1osfNdOj56nmtyCbq26GVYkPUV5rbQv5hZTqwCPYHYw==" saltValue="ufbziH7egxWhhzExjKLzxA==" spinCount="100000" sheet="1" objects="1" scenarios="1" selectLockedCells="1"/>
  <mergeCells count="78">
    <mergeCell ref="L62:N62"/>
    <mergeCell ref="H56:J56"/>
    <mergeCell ref="L56:N56"/>
    <mergeCell ref="H58:J58"/>
    <mergeCell ref="L58:N58"/>
    <mergeCell ref="H52:J52"/>
    <mergeCell ref="L52:N52"/>
    <mergeCell ref="O52:S56"/>
    <mergeCell ref="A53:F53"/>
    <mergeCell ref="H53:J53"/>
    <mergeCell ref="L53:N53"/>
    <mergeCell ref="A54:B56"/>
    <mergeCell ref="C54:F71"/>
    <mergeCell ref="H55:J55"/>
    <mergeCell ref="L55:N55"/>
    <mergeCell ref="O58:S62"/>
    <mergeCell ref="H59:J59"/>
    <mergeCell ref="L59:N59"/>
    <mergeCell ref="H61:J61"/>
    <mergeCell ref="L61:N61"/>
    <mergeCell ref="H62:J62"/>
    <mergeCell ref="L46:N46"/>
    <mergeCell ref="O46:S50"/>
    <mergeCell ref="H47:J47"/>
    <mergeCell ref="L47:N47"/>
    <mergeCell ref="H49:J49"/>
    <mergeCell ref="L49:N49"/>
    <mergeCell ref="H50:J50"/>
    <mergeCell ref="L50:N50"/>
    <mergeCell ref="A33:F33"/>
    <mergeCell ref="A34:B36"/>
    <mergeCell ref="C34:F51"/>
    <mergeCell ref="H38:S38"/>
    <mergeCell ref="H40:J40"/>
    <mergeCell ref="M18:S35"/>
    <mergeCell ref="H19:K26"/>
    <mergeCell ref="L40:N40"/>
    <mergeCell ref="O40:S44"/>
    <mergeCell ref="H41:J41"/>
    <mergeCell ref="L41:N41"/>
    <mergeCell ref="H43:J43"/>
    <mergeCell ref="L43:N43"/>
    <mergeCell ref="H44:J44"/>
    <mergeCell ref="L44:N44"/>
    <mergeCell ref="H46:J46"/>
    <mergeCell ref="A11:B11"/>
    <mergeCell ref="E11:F11"/>
    <mergeCell ref="A13:F13"/>
    <mergeCell ref="H13:S14"/>
    <mergeCell ref="A14:B16"/>
    <mergeCell ref="C14:F31"/>
    <mergeCell ref="H15:K15"/>
    <mergeCell ref="L15:O15"/>
    <mergeCell ref="P15:S15"/>
    <mergeCell ref="H16:K16"/>
    <mergeCell ref="L16:O16"/>
    <mergeCell ref="P16:S16"/>
    <mergeCell ref="H18:K18"/>
    <mergeCell ref="A8:B8"/>
    <mergeCell ref="E8:F8"/>
    <mergeCell ref="A9:B9"/>
    <mergeCell ref="E9:F9"/>
    <mergeCell ref="A10:B10"/>
    <mergeCell ref="E10:F10"/>
    <mergeCell ref="A5:B5"/>
    <mergeCell ref="C5:D5"/>
    <mergeCell ref="E5:F5"/>
    <mergeCell ref="A6:B6"/>
    <mergeCell ref="C6:D6"/>
    <mergeCell ref="E6:F6"/>
    <mergeCell ref="A4:B4"/>
    <mergeCell ref="C4:D4"/>
    <mergeCell ref="E4:F4"/>
    <mergeCell ref="A1:S1"/>
    <mergeCell ref="E2:F2"/>
    <mergeCell ref="A3:B3"/>
    <mergeCell ref="C3:D3"/>
    <mergeCell ref="E3:F3"/>
  </mergeCells>
  <dataValidations count="6">
    <dataValidation type="list" allowBlank="1" showInputMessage="1" showErrorMessage="1" sqref="H16:S16" xr:uid="{D57CFE05-1B96-4D0A-9473-051CD2CB1388}">
      <formula1>"Choose One:,Yes, No, Not Applicable, 0 Participating"</formula1>
    </dataValidation>
    <dataValidation type="list" allowBlank="1" showInputMessage="1" showErrorMessage="1" sqref="A9:B9 E9:F9" xr:uid="{4D40469A-0CBD-4E0A-B79A-D8CB8D839541}">
      <formula1>"Choose One:,Yes, No, Not Applicable"</formula1>
    </dataValidation>
    <dataValidation type="list" allowBlank="1" showInputMessage="1" showErrorMessage="1" sqref="H44 H50 H56 H62" xr:uid="{67F3A4FD-8FA1-4724-95D3-A5B973A906BB}">
      <formula1>"Choose one:,Sent E-mail, Left Voice Mail, Application Revision in Process, Revision Complete"</formula1>
    </dataValidation>
    <dataValidation type="list" allowBlank="1" showInputMessage="1" showErrorMessage="1" sqref="A54:B54 A34:B34 A14:B16" xr:uid="{39AD8791-D2BE-4833-9DBB-9392E05FA9EA}">
      <formula1>"Choose One:,Not Applicable,Budget and descriptions are complete.,Revisions needed."</formula1>
    </dataValidation>
    <dataValidation type="list" allowBlank="1" showInputMessage="1" showErrorMessage="1" sqref="D9" xr:uid="{15578D6C-E1B0-4666-B9D3-DB1E30E759EA}">
      <formula1>"Yes, No, Not Applicable"</formula1>
    </dataValidation>
    <dataValidation type="list" allowBlank="1" showInputMessage="1" showErrorMessage="1" sqref="B2" xr:uid="{DFD888B0-9908-4561-A0C7-54D65C3F3229}">
      <formula1>"Choose one:,Adis Coulibaly, Brittany Kronmiller, Dwayne Marshall, Frank Chiki, Graham Collins, Meg Richert, Mitch Fortune, Tracie Mansfield"</formula1>
    </dataValidation>
  </dataValidations>
  <pageMargins left="0.7" right="0.7" top="0.75" bottom="0.75" header="0.3" footer="0.3"/>
  <pageSetup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721F-83FD-4400-8BAE-A78736650BC9}">
  <sheetPr codeName="Sheet27">
    <tabColor rgb="FFFF7C80"/>
  </sheetPr>
  <dimension ref="A1:M46"/>
  <sheetViews>
    <sheetView topLeftCell="A25" zoomScaleNormal="100" workbookViewId="0">
      <selection activeCell="D46" sqref="D46"/>
    </sheetView>
  </sheetViews>
  <sheetFormatPr defaultColWidth="9.109375" defaultRowHeight="14.4" x14ac:dyDescent="0.3"/>
  <cols>
    <col min="1" max="1" width="43.109375" style="14" customWidth="1"/>
    <col min="2" max="4" width="16.6640625" style="14" customWidth="1"/>
    <col min="5" max="5" width="4.6640625" style="14" customWidth="1"/>
    <col min="6" max="16384" width="9.109375" style="14"/>
  </cols>
  <sheetData>
    <row r="1" spans="1:13" x14ac:dyDescent="0.3">
      <c r="A1" s="780" t="s">
        <v>148</v>
      </c>
      <c r="B1" s="781"/>
      <c r="C1" s="781"/>
      <c r="D1" s="782"/>
    </row>
    <row r="2" spans="1:13" x14ac:dyDescent="0.3">
      <c r="A2" s="783" t="s">
        <v>1996</v>
      </c>
      <c r="B2" s="784"/>
      <c r="C2" s="784"/>
      <c r="D2" s="785"/>
    </row>
    <row r="3" spans="1:13" x14ac:dyDescent="0.3">
      <c r="A3" s="783" t="s">
        <v>1981</v>
      </c>
      <c r="B3" s="784"/>
      <c r="C3" s="784"/>
      <c r="D3" s="785"/>
    </row>
    <row r="4" spans="1:13" x14ac:dyDescent="0.3">
      <c r="A4" s="141" t="s">
        <v>149</v>
      </c>
      <c r="B4" s="142">
        <f>'Reimbursement Form'!B4</f>
        <v>0</v>
      </c>
      <c r="C4" s="143" t="s">
        <v>2029</v>
      </c>
      <c r="D4" s="144"/>
    </row>
    <row r="5" spans="1:13" x14ac:dyDescent="0.3">
      <c r="A5" s="107" t="s">
        <v>150</v>
      </c>
      <c r="B5" s="668">
        <f>Overview!C4</f>
        <v>0</v>
      </c>
      <c r="C5" s="668"/>
      <c r="D5" s="108"/>
    </row>
    <row r="6" spans="1:13" x14ac:dyDescent="0.3">
      <c r="A6" s="109" t="s">
        <v>151</v>
      </c>
      <c r="B6" s="669" t="s">
        <v>152</v>
      </c>
      <c r="C6" s="669"/>
      <c r="D6" s="670"/>
    </row>
    <row r="7" spans="1:13" x14ac:dyDescent="0.3">
      <c r="A7" s="109" t="s">
        <v>153</v>
      </c>
      <c r="B7" s="650" t="s">
        <v>154</v>
      </c>
      <c r="C7" s="650"/>
      <c r="D7" s="651"/>
    </row>
    <row r="8" spans="1:13" x14ac:dyDescent="0.3">
      <c r="A8" s="265" t="s">
        <v>2031</v>
      </c>
      <c r="B8" s="652" t="s">
        <v>1995</v>
      </c>
      <c r="C8" s="652"/>
      <c r="D8" s="653"/>
    </row>
    <row r="9" spans="1:13" ht="15" thickBot="1" x14ac:dyDescent="0.35">
      <c r="A9" s="654" t="s">
        <v>155</v>
      </c>
      <c r="B9" s="655"/>
      <c r="C9" s="655"/>
      <c r="D9" s="656"/>
    </row>
    <row r="10" spans="1:13" ht="27.6" x14ac:dyDescent="0.3">
      <c r="A10" s="657" t="s">
        <v>417</v>
      </c>
      <c r="B10" s="659" t="s">
        <v>156</v>
      </c>
      <c r="C10" s="156" t="s">
        <v>157</v>
      </c>
      <c r="D10" s="660" t="s">
        <v>158</v>
      </c>
      <c r="F10" s="409" t="s">
        <v>2013</v>
      </c>
      <c r="G10" s="410"/>
      <c r="H10" s="410"/>
      <c r="I10" s="410"/>
      <c r="J10" s="410"/>
      <c r="K10" s="410"/>
      <c r="L10" s="410"/>
      <c r="M10" s="411"/>
    </row>
    <row r="11" spans="1:13" ht="15" thickBot="1" x14ac:dyDescent="0.35">
      <c r="A11" s="658"/>
      <c r="B11" s="659"/>
      <c r="C11" s="162" t="s">
        <v>159</v>
      </c>
      <c r="D11" s="661"/>
      <c r="F11" s="412"/>
      <c r="G11" s="413"/>
      <c r="H11" s="413"/>
      <c r="I11" s="413"/>
      <c r="J11" s="413"/>
      <c r="K11" s="413"/>
      <c r="L11" s="413"/>
      <c r="M11" s="414"/>
    </row>
    <row r="12" spans="1:13" ht="27.6" customHeight="1" x14ac:dyDescent="0.3">
      <c r="A12" s="110" t="s">
        <v>160</v>
      </c>
      <c r="B12" s="111">
        <f>'Amend#3 Main Budget'!G27</f>
        <v>0</v>
      </c>
      <c r="C12" s="154"/>
      <c r="D12" s="157"/>
      <c r="F12" s="644" t="s">
        <v>2014</v>
      </c>
      <c r="G12" s="645"/>
      <c r="H12" s="645"/>
      <c r="I12" s="645"/>
      <c r="J12" s="645"/>
      <c r="K12" s="645"/>
      <c r="L12" s="645"/>
      <c r="M12" s="646"/>
    </row>
    <row r="13" spans="1:13" x14ac:dyDescent="0.3">
      <c r="A13" s="110" t="s">
        <v>161</v>
      </c>
      <c r="B13" s="112">
        <f>'Amend#3 Main Budget'!G28</f>
        <v>0</v>
      </c>
      <c r="C13" s="154"/>
      <c r="D13" s="157"/>
      <c r="F13" s="644"/>
      <c r="G13" s="645"/>
      <c r="H13" s="645"/>
      <c r="I13" s="645"/>
      <c r="J13" s="645"/>
      <c r="K13" s="645"/>
      <c r="L13" s="645"/>
      <c r="M13" s="646"/>
    </row>
    <row r="14" spans="1:13" x14ac:dyDescent="0.3">
      <c r="A14" s="110" t="s">
        <v>162</v>
      </c>
      <c r="B14" s="111">
        <f>'Amend#3 Main Budget'!G29</f>
        <v>0</v>
      </c>
      <c r="C14" s="154"/>
      <c r="D14" s="157"/>
      <c r="F14" s="644"/>
      <c r="G14" s="645"/>
      <c r="H14" s="645"/>
      <c r="I14" s="645"/>
      <c r="J14" s="645"/>
      <c r="K14" s="645"/>
      <c r="L14" s="645"/>
      <c r="M14" s="646"/>
    </row>
    <row r="15" spans="1:13" x14ac:dyDescent="0.3">
      <c r="A15" s="110" t="s">
        <v>163</v>
      </c>
      <c r="B15" s="113">
        <f>'Amend#3 Main Budget'!M23-B19</f>
        <v>0</v>
      </c>
      <c r="C15" s="154"/>
      <c r="D15" s="157"/>
      <c r="F15" s="644"/>
      <c r="G15" s="645"/>
      <c r="H15" s="645"/>
      <c r="I15" s="645"/>
      <c r="J15" s="645"/>
      <c r="K15" s="645"/>
      <c r="L15" s="645"/>
      <c r="M15" s="646"/>
    </row>
    <row r="16" spans="1:13" x14ac:dyDescent="0.3">
      <c r="A16" s="110" t="s">
        <v>164</v>
      </c>
      <c r="B16" s="111">
        <f>'Amend#3 Main Budget'!M22-B20</f>
        <v>0</v>
      </c>
      <c r="C16" s="154"/>
      <c r="D16" s="157"/>
      <c r="F16" s="644"/>
      <c r="G16" s="645"/>
      <c r="H16" s="645"/>
      <c r="I16" s="645"/>
      <c r="J16" s="645"/>
      <c r="K16" s="645"/>
      <c r="L16" s="645"/>
      <c r="M16" s="646"/>
    </row>
    <row r="17" spans="1:13" x14ac:dyDescent="0.3">
      <c r="A17" s="110" t="s">
        <v>2018</v>
      </c>
      <c r="B17" s="245"/>
      <c r="C17" s="155"/>
      <c r="D17" s="157"/>
      <c r="F17" s="644"/>
      <c r="G17" s="645"/>
      <c r="H17" s="645"/>
      <c r="I17" s="645"/>
      <c r="J17" s="645"/>
      <c r="K17" s="645"/>
      <c r="L17" s="645"/>
      <c r="M17" s="646"/>
    </row>
    <row r="18" spans="1:13" x14ac:dyDescent="0.3">
      <c r="A18" s="110" t="s">
        <v>2019</v>
      </c>
      <c r="B18" s="245">
        <f>SUM('Amend#3 NPS Activities'!D112-(B19+B20))</f>
        <v>0</v>
      </c>
      <c r="C18" s="155"/>
      <c r="D18" s="157"/>
      <c r="F18" s="644"/>
      <c r="G18" s="645"/>
      <c r="H18" s="645"/>
      <c r="I18" s="645"/>
      <c r="J18" s="645"/>
      <c r="K18" s="645"/>
      <c r="L18" s="645"/>
      <c r="M18" s="646"/>
    </row>
    <row r="19" spans="1:13" x14ac:dyDescent="0.3">
      <c r="A19" s="110" t="s">
        <v>2020</v>
      </c>
      <c r="B19" s="245">
        <f>SUM('Amend#3 NPS Activities'!H30:H36)</f>
        <v>0</v>
      </c>
      <c r="C19" s="155"/>
      <c r="D19" s="157"/>
      <c r="F19" s="644"/>
      <c r="G19" s="645"/>
      <c r="H19" s="645"/>
      <c r="I19" s="645"/>
      <c r="J19" s="645"/>
      <c r="K19" s="645"/>
      <c r="L19" s="645"/>
      <c r="M19" s="646"/>
    </row>
    <row r="20" spans="1:13" x14ac:dyDescent="0.3">
      <c r="A20" s="110" t="s">
        <v>2021</v>
      </c>
      <c r="B20" s="245">
        <f>'Amend#3 NPS Activities'!H62</f>
        <v>0</v>
      </c>
      <c r="C20" s="155"/>
      <c r="D20" s="157"/>
      <c r="F20" s="644"/>
      <c r="G20" s="645"/>
      <c r="H20" s="645"/>
      <c r="I20" s="645"/>
      <c r="J20" s="645"/>
      <c r="K20" s="645"/>
      <c r="L20" s="645"/>
      <c r="M20" s="646"/>
    </row>
    <row r="21" spans="1:13" x14ac:dyDescent="0.3">
      <c r="A21" s="114" t="s">
        <v>165</v>
      </c>
      <c r="B21" s="115"/>
      <c r="C21" s="115"/>
      <c r="D21" s="115"/>
      <c r="F21" s="644"/>
      <c r="G21" s="645"/>
      <c r="H21" s="645"/>
      <c r="I21" s="645"/>
      <c r="J21" s="645"/>
      <c r="K21" s="645"/>
      <c r="L21" s="645"/>
      <c r="M21" s="646"/>
    </row>
    <row r="22" spans="1:13" x14ac:dyDescent="0.3">
      <c r="A22" s="116" t="s">
        <v>2006</v>
      </c>
      <c r="B22" s="117">
        <f>'Amend#3 Overview'!E19</f>
        <v>0</v>
      </c>
      <c r="C22" s="155"/>
      <c r="D22" s="157"/>
      <c r="F22" s="644"/>
      <c r="G22" s="645"/>
      <c r="H22" s="645"/>
      <c r="I22" s="645"/>
      <c r="J22" s="645"/>
      <c r="K22" s="645"/>
      <c r="L22" s="645"/>
      <c r="M22" s="646"/>
    </row>
    <row r="23" spans="1:13" x14ac:dyDescent="0.3">
      <c r="A23" s="116" t="s">
        <v>2007</v>
      </c>
      <c r="B23" s="117">
        <f>'Amend#3 Overview'!E20</f>
        <v>0</v>
      </c>
      <c r="C23" s="155"/>
      <c r="D23" s="157"/>
      <c r="F23" s="644"/>
      <c r="G23" s="645"/>
      <c r="H23" s="645"/>
      <c r="I23" s="645"/>
      <c r="J23" s="645"/>
      <c r="K23" s="645"/>
      <c r="L23" s="645"/>
      <c r="M23" s="646"/>
    </row>
    <row r="24" spans="1:13" x14ac:dyDescent="0.3">
      <c r="A24" s="116" t="s">
        <v>2008</v>
      </c>
      <c r="B24" s="117">
        <f>'Amend#3 Overview'!E21</f>
        <v>0</v>
      </c>
      <c r="C24" s="155"/>
      <c r="D24" s="157"/>
      <c r="F24" s="647"/>
      <c r="G24" s="648"/>
      <c r="H24" s="648"/>
      <c r="I24" s="648"/>
      <c r="J24" s="648"/>
      <c r="K24" s="648"/>
      <c r="L24" s="648"/>
      <c r="M24" s="649"/>
    </row>
    <row r="25" spans="1:13" x14ac:dyDescent="0.3">
      <c r="A25" s="116" t="s">
        <v>2009</v>
      </c>
      <c r="B25" s="117">
        <f>'Amend#3 Overview'!E22</f>
        <v>0</v>
      </c>
      <c r="C25" s="155"/>
      <c r="D25" s="157"/>
    </row>
    <row r="26" spans="1:13" x14ac:dyDescent="0.3">
      <c r="A26" s="116" t="s">
        <v>2010</v>
      </c>
      <c r="B26" s="117">
        <f>'Amend#3 Overview'!E23</f>
        <v>0</v>
      </c>
      <c r="C26" s="155"/>
      <c r="D26" s="157"/>
    </row>
    <row r="27" spans="1:13" ht="14.4" customHeight="1" thickBot="1" x14ac:dyDescent="0.35">
      <c r="A27" s="248" t="s">
        <v>2011</v>
      </c>
      <c r="B27" s="249">
        <f>'Amend#3 Overview'!E24</f>
        <v>0</v>
      </c>
      <c r="C27" s="250"/>
      <c r="D27" s="251"/>
    </row>
    <row r="28" spans="1:13" ht="14.4" customHeight="1" x14ac:dyDescent="0.3">
      <c r="A28" s="246" t="s">
        <v>2022</v>
      </c>
      <c r="B28" s="247">
        <f>SUM(B12:B27)</f>
        <v>0</v>
      </c>
      <c r="C28" s="259"/>
      <c r="D28" s="260"/>
    </row>
    <row r="29" spans="1:13" ht="15" thickBot="1" x14ac:dyDescent="0.35">
      <c r="A29" s="248" t="s">
        <v>2024</v>
      </c>
      <c r="B29" s="249">
        <f>'Amend#3 Overview'!G11</f>
        <v>0</v>
      </c>
      <c r="C29" s="261"/>
      <c r="D29" s="262"/>
    </row>
    <row r="30" spans="1:13" ht="15" thickBot="1" x14ac:dyDescent="0.35">
      <c r="A30" s="254" t="s">
        <v>2023</v>
      </c>
      <c r="B30" s="255">
        <f>B28-B29</f>
        <v>0</v>
      </c>
      <c r="C30" s="256">
        <f>SUM(C12:C27)</f>
        <v>0</v>
      </c>
      <c r="D30" s="257">
        <f>SUM(D12:D27)</f>
        <v>0</v>
      </c>
    </row>
    <row r="31" spans="1:13" ht="40.799999999999997" x14ac:dyDescent="0.3">
      <c r="A31" s="671"/>
      <c r="B31" s="672"/>
      <c r="C31" s="252" t="s">
        <v>399</v>
      </c>
      <c r="D31" s="253"/>
    </row>
    <row r="32" spans="1:13" ht="67.2" customHeight="1" x14ac:dyDescent="0.3">
      <c r="A32" s="676" t="s">
        <v>166</v>
      </c>
      <c r="B32" s="676"/>
      <c r="C32" s="676"/>
      <c r="D32" s="676"/>
    </row>
    <row r="33" spans="1:4" ht="14.4" customHeight="1" x14ac:dyDescent="0.3">
      <c r="A33" s="118" t="s">
        <v>167</v>
      </c>
      <c r="B33" s="119" t="s">
        <v>168</v>
      </c>
      <c r="C33" s="677"/>
      <c r="D33" s="678"/>
    </row>
    <row r="34" spans="1:4" x14ac:dyDescent="0.3">
      <c r="A34" s="120" t="s">
        <v>169</v>
      </c>
      <c r="B34" s="679"/>
      <c r="C34" s="679"/>
      <c r="D34" s="680"/>
    </row>
    <row r="35" spans="1:4" x14ac:dyDescent="0.3">
      <c r="A35" s="120" t="s">
        <v>170</v>
      </c>
      <c r="B35" s="679"/>
      <c r="C35" s="679"/>
      <c r="D35" s="680"/>
    </row>
    <row r="36" spans="1:4" x14ac:dyDescent="0.3">
      <c r="A36" s="120" t="s">
        <v>171</v>
      </c>
      <c r="B36" s="679"/>
      <c r="C36" s="679"/>
      <c r="D36" s="680"/>
    </row>
    <row r="37" spans="1:4" ht="4.2" customHeight="1" x14ac:dyDescent="0.3">
      <c r="A37" s="121"/>
      <c r="B37" s="122"/>
      <c r="C37" s="122"/>
      <c r="D37" s="123"/>
    </row>
    <row r="38" spans="1:4" ht="4.2" customHeight="1" x14ac:dyDescent="0.3">
      <c r="A38" s="685"/>
      <c r="B38" s="685"/>
      <c r="C38" s="685"/>
      <c r="D38" s="685"/>
    </row>
    <row r="39" spans="1:4" ht="14.4" customHeight="1" x14ac:dyDescent="0.3">
      <c r="A39" s="124" t="s">
        <v>172</v>
      </c>
      <c r="B39" s="125" t="s">
        <v>168</v>
      </c>
      <c r="C39" s="681"/>
      <c r="D39" s="682"/>
    </row>
    <row r="40" spans="1:4" ht="14.4" customHeight="1" x14ac:dyDescent="0.3">
      <c r="A40" s="107" t="s">
        <v>169</v>
      </c>
      <c r="B40" s="683"/>
      <c r="C40" s="683"/>
      <c r="D40" s="684"/>
    </row>
    <row r="41" spans="1:4" ht="14.4" customHeight="1" x14ac:dyDescent="0.3">
      <c r="A41" s="107" t="s">
        <v>170</v>
      </c>
      <c r="B41" s="683"/>
      <c r="C41" s="683"/>
      <c r="D41" s="684"/>
    </row>
    <row r="42" spans="1:4" x14ac:dyDescent="0.3">
      <c r="A42" s="107" t="s">
        <v>171</v>
      </c>
      <c r="B42" s="683"/>
      <c r="C42" s="683"/>
      <c r="D42" s="684"/>
    </row>
    <row r="43" spans="1:4" ht="4.2" customHeight="1" x14ac:dyDescent="0.3">
      <c r="A43" s="126"/>
      <c r="B43" s="127"/>
      <c r="C43" s="127"/>
      <c r="D43" s="128"/>
    </row>
    <row r="44" spans="1:4" ht="4.2" customHeight="1" x14ac:dyDescent="0.3">
      <c r="A44" s="686"/>
      <c r="B44" s="686"/>
      <c r="C44" s="686"/>
      <c r="D44" s="686"/>
    </row>
    <row r="45" spans="1:4" ht="15" customHeight="1" x14ac:dyDescent="0.3">
      <c r="A45" s="673" t="s">
        <v>173</v>
      </c>
      <c r="B45" s="687" t="s">
        <v>174</v>
      </c>
      <c r="C45" s="674" t="s">
        <v>175</v>
      </c>
      <c r="D45" s="129" t="s">
        <v>176</v>
      </c>
    </row>
    <row r="46" spans="1:4" ht="15" customHeight="1" x14ac:dyDescent="0.3">
      <c r="A46" s="673"/>
      <c r="B46" s="687"/>
      <c r="C46" s="675"/>
      <c r="D46" s="382" t="s">
        <v>177</v>
      </c>
    </row>
  </sheetData>
  <sheetProtection algorithmName="SHA-512" hashValue="Zv7iZkOtae0DhVE2DsfuFCenDXxwezoUA57pBr6F0OMNu/v+wdWW+/eHebetIrjqRWkqDVrmD1p09HuLJK/Ccg==" saltValue="HjJ8Nb4tEh8ziq2dNbSQ/A==" spinCount="100000" sheet="1" objects="1" scenarios="1" selectLockedCells="1"/>
  <mergeCells count="28">
    <mergeCell ref="B35:D35"/>
    <mergeCell ref="B36:D36"/>
    <mergeCell ref="A31:B31"/>
    <mergeCell ref="A32:D32"/>
    <mergeCell ref="C33:D33"/>
    <mergeCell ref="B34:D34"/>
    <mergeCell ref="F10:M11"/>
    <mergeCell ref="F12:M24"/>
    <mergeCell ref="B7:D7"/>
    <mergeCell ref="A1:D1"/>
    <mergeCell ref="A2:D2"/>
    <mergeCell ref="A3:D3"/>
    <mergeCell ref="B5:C5"/>
    <mergeCell ref="B6:D6"/>
    <mergeCell ref="B8:D8"/>
    <mergeCell ref="A9:D9"/>
    <mergeCell ref="A10:A11"/>
    <mergeCell ref="B10:B11"/>
    <mergeCell ref="D10:D11"/>
    <mergeCell ref="A44:D44"/>
    <mergeCell ref="A45:A46"/>
    <mergeCell ref="B45:B46"/>
    <mergeCell ref="C45:C46"/>
    <mergeCell ref="A38:D38"/>
    <mergeCell ref="C39:D39"/>
    <mergeCell ref="B40:D40"/>
    <mergeCell ref="B41:D41"/>
    <mergeCell ref="B42:D42"/>
  </mergeCells>
  <hyperlinks>
    <hyperlink ref="D46" r:id="rId1" xr:uid="{A21AC846-FEE6-4A93-B060-B6B58D524398}"/>
  </hyperlinks>
  <pageMargins left="0.5" right="0.5" top="0.5" bottom="0.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1" id="{EA14890D-4D2E-4384-9203-A4627A8C09AD}">
            <xm:f>$B$15&gt;Overview!$I$15</xm:f>
            <x14:dxf>
              <font>
                <b/>
                <i val="0"/>
                <color rgb="FFFFFF00"/>
              </font>
              <fill>
                <patternFill>
                  <bgColor rgb="FFFF0000"/>
                </patternFill>
              </fill>
            </x14:dxf>
          </x14:cfRule>
          <xm:sqref>B15</xm:sqref>
        </x14:conditionalFormatting>
      </x14:conditionalFormatting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83C94-158F-426E-A719-C1D5D161415A}">
  <sheetPr codeName="Sheet28">
    <tabColor theme="5" tint="0.39997558519241921"/>
  </sheetPr>
  <dimension ref="A1:V53"/>
  <sheetViews>
    <sheetView showGridLines="0" zoomScaleNormal="100" workbookViewId="0">
      <selection activeCell="C6" sqref="C6:E6"/>
    </sheetView>
  </sheetViews>
  <sheetFormatPr defaultColWidth="8.88671875" defaultRowHeight="14.4" x14ac:dyDescent="0.3"/>
  <cols>
    <col min="1" max="1" width="8.88671875" style="14"/>
    <col min="2" max="2" width="11.44140625" style="14" customWidth="1"/>
    <col min="3" max="4" width="8.88671875" style="14"/>
    <col min="5" max="5" width="13.77734375" style="14" customWidth="1"/>
    <col min="6" max="13" width="8.88671875" style="14"/>
    <col min="14" max="14" width="4" style="14" customWidth="1"/>
    <col min="15" max="16384" width="8.88671875" style="14"/>
  </cols>
  <sheetData>
    <row r="1" spans="1:22" ht="29.4" customHeight="1" thickBot="1" x14ac:dyDescent="0.35">
      <c r="A1" s="786" t="s">
        <v>2065</v>
      </c>
      <c r="B1" s="786"/>
      <c r="C1" s="786"/>
      <c r="D1" s="786"/>
      <c r="E1" s="786"/>
      <c r="F1" s="786"/>
      <c r="G1" s="786"/>
      <c r="H1" s="786"/>
      <c r="I1" s="786"/>
      <c r="J1" s="786"/>
      <c r="K1" s="786"/>
      <c r="L1" s="786"/>
      <c r="M1" s="786"/>
      <c r="O1" s="424" t="s">
        <v>120</v>
      </c>
      <c r="P1" s="425"/>
      <c r="Q1" s="425"/>
      <c r="R1" s="425"/>
      <c r="S1" s="425"/>
      <c r="T1" s="425"/>
      <c r="U1" s="425"/>
      <c r="V1" s="426"/>
    </row>
    <row r="2" spans="1:22" x14ac:dyDescent="0.3">
      <c r="A2" s="435" t="s">
        <v>113</v>
      </c>
      <c r="B2" s="435"/>
      <c r="C2" s="435"/>
      <c r="D2" s="435"/>
      <c r="E2" s="435"/>
      <c r="F2" s="435"/>
      <c r="G2" s="435"/>
      <c r="H2" s="435"/>
      <c r="I2" s="435"/>
      <c r="J2" s="435"/>
      <c r="K2" s="435"/>
      <c r="L2" s="435"/>
      <c r="M2" s="435"/>
      <c r="O2" s="695" t="s">
        <v>2005</v>
      </c>
      <c r="P2" s="696"/>
      <c r="Q2" s="696"/>
      <c r="R2" s="696"/>
      <c r="S2" s="696"/>
      <c r="T2" s="696"/>
      <c r="U2" s="696"/>
      <c r="V2" s="697"/>
    </row>
    <row r="3" spans="1:22" s="38" customFormat="1" ht="6.6" customHeight="1" x14ac:dyDescent="0.3">
      <c r="A3" s="35"/>
      <c r="B3" s="36"/>
      <c r="C3" s="36"/>
      <c r="D3" s="36"/>
      <c r="E3" s="36"/>
      <c r="F3" s="36"/>
      <c r="G3" s="36"/>
      <c r="H3" s="36"/>
      <c r="I3" s="36"/>
      <c r="J3" s="36"/>
      <c r="K3" s="36"/>
      <c r="L3" s="36"/>
      <c r="M3" s="37"/>
      <c r="O3" s="698"/>
      <c r="P3" s="699"/>
      <c r="Q3" s="699"/>
      <c r="R3" s="699"/>
      <c r="S3" s="699"/>
      <c r="T3" s="699"/>
      <c r="U3" s="699"/>
      <c r="V3" s="700"/>
    </row>
    <row r="4" spans="1:22" x14ac:dyDescent="0.3">
      <c r="A4" s="448" t="s">
        <v>78</v>
      </c>
      <c r="B4" s="449"/>
      <c r="C4" s="705">
        <f>Overview!C4</f>
        <v>0</v>
      </c>
      <c r="D4" s="705"/>
      <c r="E4" s="705"/>
      <c r="F4" s="705"/>
      <c r="G4" s="705"/>
      <c r="H4" s="705"/>
      <c r="I4" s="705"/>
      <c r="J4" s="705"/>
      <c r="K4" s="705"/>
      <c r="L4" s="705"/>
      <c r="M4" s="706"/>
      <c r="O4" s="698"/>
      <c r="P4" s="699"/>
      <c r="Q4" s="699"/>
      <c r="R4" s="699"/>
      <c r="S4" s="699"/>
      <c r="T4" s="699"/>
      <c r="U4" s="699"/>
      <c r="V4" s="700"/>
    </row>
    <row r="5" spans="1:22" s="38" customFormat="1" ht="15.6" customHeight="1" x14ac:dyDescent="0.3">
      <c r="A5" s="35"/>
      <c r="B5" s="36"/>
      <c r="C5" s="707" t="s">
        <v>1979</v>
      </c>
      <c r="D5" s="707"/>
      <c r="E5" s="707"/>
      <c r="F5" s="707"/>
      <c r="G5" s="707"/>
      <c r="H5" s="707"/>
      <c r="I5" s="707"/>
      <c r="J5" s="707"/>
      <c r="K5" s="707"/>
      <c r="L5" s="707"/>
      <c r="M5" s="708"/>
      <c r="O5" s="701"/>
      <c r="P5" s="702"/>
      <c r="Q5" s="702"/>
      <c r="R5" s="702"/>
      <c r="S5" s="702"/>
      <c r="T5" s="702"/>
      <c r="U5" s="702"/>
      <c r="V5" s="703"/>
    </row>
    <row r="6" spans="1:22" s="38" customFormat="1" ht="15.6" customHeight="1" thickBot="1" x14ac:dyDescent="0.35">
      <c r="A6" s="393" t="s">
        <v>96</v>
      </c>
      <c r="B6" s="393"/>
      <c r="C6" s="691">
        <f>'Amend#3 Overview'!C6</f>
        <v>0</v>
      </c>
      <c r="D6" s="691"/>
      <c r="E6" s="691"/>
      <c r="F6" s="150" t="s">
        <v>98</v>
      </c>
      <c r="G6" s="692">
        <f>'Amend#3 Overview'!G6</f>
        <v>0</v>
      </c>
      <c r="H6" s="693"/>
      <c r="I6" s="693"/>
      <c r="J6" s="151" t="s">
        <v>119</v>
      </c>
      <c r="K6" s="691">
        <f>'Amend#3 Overview'!K6</f>
        <v>0</v>
      </c>
      <c r="L6" s="691"/>
      <c r="M6" s="694"/>
      <c r="O6" s="14"/>
      <c r="P6" s="14"/>
      <c r="Q6" s="14"/>
      <c r="R6" s="14"/>
      <c r="S6" s="14"/>
      <c r="T6" s="14"/>
      <c r="U6" s="14"/>
      <c r="V6" s="14"/>
    </row>
    <row r="7" spans="1:22" s="38" customFormat="1" ht="15.6" customHeight="1" thickBot="1" x14ac:dyDescent="0.35">
      <c r="A7" s="393" t="s">
        <v>97</v>
      </c>
      <c r="B7" s="393"/>
      <c r="C7" s="691">
        <f>'Amend#3 Overview'!C7</f>
        <v>0</v>
      </c>
      <c r="D7" s="691"/>
      <c r="E7" s="691"/>
      <c r="F7" s="150" t="s">
        <v>98</v>
      </c>
      <c r="G7" s="692">
        <f>'Amend#3 Overview'!G7</f>
        <v>0</v>
      </c>
      <c r="H7" s="693"/>
      <c r="I7" s="693"/>
      <c r="J7" s="151" t="s">
        <v>119</v>
      </c>
      <c r="K7" s="691">
        <f>'Amend#3 Overview'!K7</f>
        <v>0</v>
      </c>
      <c r="L7" s="691"/>
      <c r="M7" s="694"/>
      <c r="O7" s="409" t="s">
        <v>1983</v>
      </c>
      <c r="P7" s="410"/>
      <c r="Q7" s="410"/>
      <c r="R7" s="410"/>
      <c r="S7" s="410"/>
      <c r="T7" s="410"/>
      <c r="U7" s="410"/>
      <c r="V7" s="411"/>
    </row>
    <row r="8" spans="1:22" s="38" customFormat="1" ht="15.6" customHeight="1" thickBot="1" x14ac:dyDescent="0.35">
      <c r="A8" s="393" t="s">
        <v>118</v>
      </c>
      <c r="B8" s="393"/>
      <c r="C8" s="691">
        <f>'Amend#3 Overview'!C8</f>
        <v>0</v>
      </c>
      <c r="D8" s="691"/>
      <c r="E8" s="691"/>
      <c r="F8" s="150" t="s">
        <v>98</v>
      </c>
      <c r="G8" s="692">
        <f>'Amend#3 Overview'!G8</f>
        <v>0</v>
      </c>
      <c r="H8" s="693"/>
      <c r="I8" s="693"/>
      <c r="J8" s="151" t="s">
        <v>119</v>
      </c>
      <c r="K8" s="691">
        <f>'Amend#3 Overview'!K8</f>
        <v>0</v>
      </c>
      <c r="L8" s="691"/>
      <c r="M8" s="694"/>
      <c r="O8" s="412"/>
      <c r="P8" s="413"/>
      <c r="Q8" s="413"/>
      <c r="R8" s="413"/>
      <c r="S8" s="413"/>
      <c r="T8" s="413"/>
      <c r="U8" s="413"/>
      <c r="V8" s="414"/>
    </row>
    <row r="9" spans="1:22" ht="16.2" customHeight="1" thickBot="1" x14ac:dyDescent="0.35">
      <c r="A9" s="436" t="s">
        <v>30</v>
      </c>
      <c r="B9" s="437"/>
      <c r="C9" s="437"/>
      <c r="D9" s="437"/>
      <c r="E9" s="438"/>
      <c r="F9" s="438"/>
      <c r="G9" s="439" t="str">
        <f>Overview!G9</f>
        <v/>
      </c>
      <c r="H9" s="440"/>
      <c r="I9" s="440"/>
      <c r="J9" s="440"/>
      <c r="K9" s="440"/>
      <c r="L9" s="440"/>
      <c r="M9" s="441"/>
      <c r="O9" s="415" t="s">
        <v>2067</v>
      </c>
      <c r="P9" s="416"/>
      <c r="Q9" s="416"/>
      <c r="R9" s="416"/>
      <c r="S9" s="416"/>
      <c r="T9" s="416"/>
      <c r="U9" s="416"/>
      <c r="V9" s="417"/>
    </row>
    <row r="10" spans="1:22" ht="16.2" customHeight="1" thickBot="1" x14ac:dyDescent="0.35">
      <c r="A10" s="398" t="s">
        <v>1999</v>
      </c>
      <c r="B10" s="399"/>
      <c r="C10" s="399"/>
      <c r="D10" s="399"/>
      <c r="E10" s="399"/>
      <c r="F10" s="399"/>
      <c r="G10" s="405">
        <f>SUM(E19:E24)</f>
        <v>0</v>
      </c>
      <c r="H10" s="392"/>
      <c r="I10" s="391"/>
      <c r="J10" s="391"/>
      <c r="K10" s="391"/>
      <c r="L10" s="391"/>
      <c r="M10" s="392"/>
      <c r="O10" s="415"/>
      <c r="P10" s="416"/>
      <c r="Q10" s="416"/>
      <c r="R10" s="416"/>
      <c r="S10" s="416"/>
      <c r="T10" s="416"/>
      <c r="U10" s="416"/>
      <c r="V10" s="417"/>
    </row>
    <row r="11" spans="1:22" ht="16.2" customHeight="1" thickBot="1" x14ac:dyDescent="0.35">
      <c r="A11" s="227"/>
      <c r="B11" s="228"/>
      <c r="C11" s="228"/>
      <c r="D11" s="228"/>
      <c r="E11" s="228"/>
      <c r="F11" s="228" t="s">
        <v>2000</v>
      </c>
      <c r="G11" s="689">
        <f>IFERROR(Overview!G11,"")</f>
        <v>0</v>
      </c>
      <c r="H11" s="690"/>
      <c r="I11" s="405" t="str">
        <f>IFERROR(ROUND(G13-Overview!G13,2),"")</f>
        <v/>
      </c>
      <c r="J11" s="391"/>
      <c r="K11" s="230"/>
      <c r="L11" s="230"/>
      <c r="M11" s="175" t="s">
        <v>2001</v>
      </c>
      <c r="O11" s="415"/>
      <c r="P11" s="416"/>
      <c r="Q11" s="416"/>
      <c r="R11" s="416"/>
      <c r="S11" s="416"/>
      <c r="T11" s="416"/>
      <c r="U11" s="416"/>
      <c r="V11" s="417"/>
    </row>
    <row r="12" spans="1:22" ht="16.2" customHeight="1" thickBot="1" x14ac:dyDescent="0.35">
      <c r="A12" s="227"/>
      <c r="B12" s="228"/>
      <c r="C12" s="228"/>
      <c r="D12" s="228"/>
      <c r="E12" s="228"/>
      <c r="F12" s="182" t="s">
        <v>2004</v>
      </c>
      <c r="G12" s="400" t="str">
        <f>IFERROR(ROUND(G9-G10+G11,2),"")</f>
        <v/>
      </c>
      <c r="H12" s="401"/>
      <c r="I12" s="405"/>
      <c r="J12" s="391"/>
      <c r="K12" s="391"/>
      <c r="L12" s="391"/>
      <c r="M12" s="392"/>
      <c r="O12" s="415"/>
      <c r="P12" s="416"/>
      <c r="Q12" s="416"/>
      <c r="R12" s="416"/>
      <c r="S12" s="416"/>
      <c r="T12" s="416"/>
      <c r="U12" s="416"/>
      <c r="V12" s="417"/>
    </row>
    <row r="13" spans="1:22" ht="16.2" customHeight="1" thickBot="1" x14ac:dyDescent="0.35">
      <c r="A13" s="398" t="s">
        <v>1988</v>
      </c>
      <c r="B13" s="399"/>
      <c r="C13" s="399"/>
      <c r="D13" s="399"/>
      <c r="E13" s="399"/>
      <c r="F13" s="399"/>
      <c r="G13" s="405" t="str">
        <f>'Amend#4 Equitable Share'!K56</f>
        <v xml:space="preserve"> </v>
      </c>
      <c r="H13" s="392"/>
      <c r="I13" s="391"/>
      <c r="J13" s="391"/>
      <c r="K13" s="391"/>
      <c r="L13" s="391"/>
      <c r="M13" s="392"/>
      <c r="O13" s="415"/>
      <c r="P13" s="416"/>
      <c r="Q13" s="416"/>
      <c r="R13" s="416"/>
      <c r="S13" s="416"/>
      <c r="T13" s="416"/>
      <c r="U13" s="416"/>
      <c r="V13" s="417"/>
    </row>
    <row r="14" spans="1:22" ht="16.2" customHeight="1" thickBot="1" x14ac:dyDescent="0.35">
      <c r="A14" s="421" t="s">
        <v>68</v>
      </c>
      <c r="B14" s="399"/>
      <c r="C14" s="399"/>
      <c r="D14" s="399"/>
      <c r="E14" s="399"/>
      <c r="F14" s="399"/>
      <c r="G14" s="403" t="str">
        <f>IFERROR(ROUND(G12-G13,2),"")</f>
        <v/>
      </c>
      <c r="H14" s="404"/>
      <c r="I14" s="403"/>
      <c r="J14" s="391"/>
      <c r="K14" s="391"/>
      <c r="L14" s="391"/>
      <c r="M14" s="392"/>
      <c r="O14" s="415"/>
      <c r="P14" s="416"/>
      <c r="Q14" s="416"/>
      <c r="R14" s="416"/>
      <c r="S14" s="416"/>
      <c r="T14" s="416"/>
      <c r="U14" s="416"/>
      <c r="V14" s="417"/>
    </row>
    <row r="15" spans="1:22" ht="19.2" customHeight="1" thickBot="1" x14ac:dyDescent="0.35">
      <c r="A15" s="421" t="s">
        <v>2002</v>
      </c>
      <c r="B15" s="399"/>
      <c r="C15" s="399"/>
      <c r="D15" s="399"/>
      <c r="E15" s="399"/>
      <c r="F15" s="399"/>
      <c r="G15" s="406">
        <f>'Amend#4 Main Budget'!M23</f>
        <v>0</v>
      </c>
      <c r="H15" s="407"/>
      <c r="I15" s="403" t="str">
        <f>IFERROR(ROUND((G12)*0.03,2),"")</f>
        <v/>
      </c>
      <c r="J15" s="404"/>
      <c r="K15" s="149" t="s">
        <v>401</v>
      </c>
      <c r="L15" s="25"/>
      <c r="M15" s="26"/>
      <c r="O15" s="415"/>
      <c r="P15" s="416"/>
      <c r="Q15" s="416"/>
      <c r="R15" s="416"/>
      <c r="S15" s="416"/>
      <c r="T15" s="416"/>
      <c r="U15" s="416"/>
      <c r="V15" s="417"/>
    </row>
    <row r="16" spans="1:22" ht="16.2" customHeight="1" thickBot="1" x14ac:dyDescent="0.35">
      <c r="A16" s="15"/>
      <c r="B16" s="688" t="str">
        <f>IFERROR('Amend#4 Main Budget'!H27," ")</f>
        <v/>
      </c>
      <c r="C16" s="688"/>
      <c r="D16" s="688"/>
      <c r="E16" s="16"/>
      <c r="F16" s="688" t="str">
        <f>IFERROR('Amend#4 Main Budget'!H28," ")</f>
        <v/>
      </c>
      <c r="G16" s="688"/>
      <c r="H16" s="688"/>
      <c r="I16" s="16"/>
      <c r="J16" s="688" t="str">
        <f>IFERROR('Amend#4 Main Budget'!H29,"")</f>
        <v/>
      </c>
      <c r="K16" s="688"/>
      <c r="L16" s="688"/>
      <c r="M16" s="17"/>
      <c r="O16" s="415"/>
      <c r="P16" s="416"/>
      <c r="Q16" s="416"/>
      <c r="R16" s="416"/>
      <c r="S16" s="416"/>
      <c r="T16" s="416"/>
      <c r="U16" s="416"/>
      <c r="V16" s="417"/>
    </row>
    <row r="17" spans="1:22" ht="16.2" customHeight="1" x14ac:dyDescent="0.3">
      <c r="A17" s="15"/>
      <c r="B17" s="408" t="s">
        <v>115</v>
      </c>
      <c r="C17" s="408"/>
      <c r="D17" s="408"/>
      <c r="E17" s="16"/>
      <c r="F17" s="408" t="s">
        <v>116</v>
      </c>
      <c r="G17" s="408"/>
      <c r="H17" s="408"/>
      <c r="I17" s="16"/>
      <c r="J17" s="408" t="s">
        <v>117</v>
      </c>
      <c r="K17" s="408"/>
      <c r="L17" s="408"/>
      <c r="M17" s="17"/>
      <c r="O17" s="415"/>
      <c r="P17" s="416"/>
      <c r="Q17" s="416"/>
      <c r="R17" s="416"/>
      <c r="S17" s="416"/>
      <c r="T17" s="416"/>
      <c r="U17" s="416"/>
      <c r="V17" s="417"/>
    </row>
    <row r="18" spans="1:22" ht="5.4" customHeight="1" x14ac:dyDescent="0.3">
      <c r="A18" s="15"/>
      <c r="B18" s="229"/>
      <c r="C18" s="229"/>
      <c r="D18" s="229"/>
      <c r="E18" s="16"/>
      <c r="F18" s="229"/>
      <c r="G18" s="229"/>
      <c r="H18" s="229"/>
      <c r="I18" s="16"/>
      <c r="J18" s="229"/>
      <c r="K18" s="229"/>
      <c r="L18" s="229"/>
      <c r="M18" s="17"/>
      <c r="O18" s="415"/>
      <c r="P18" s="416"/>
      <c r="Q18" s="416"/>
      <c r="R18" s="416"/>
      <c r="S18" s="416"/>
      <c r="T18" s="416"/>
      <c r="U18" s="416"/>
      <c r="V18" s="417"/>
    </row>
    <row r="19" spans="1:22" ht="16.2" customHeight="1" x14ac:dyDescent="0.3">
      <c r="A19" s="385" t="s">
        <v>1989</v>
      </c>
      <c r="B19" s="386"/>
      <c r="C19" s="386"/>
      <c r="D19" s="386"/>
      <c r="E19" s="195">
        <f>IFERROR('Amend#3 Overview'!E19,"")</f>
        <v>0</v>
      </c>
      <c r="F19" s="16"/>
      <c r="G19" s="16"/>
      <c r="H19" s="16"/>
      <c r="I19" s="16"/>
      <c r="J19" s="16"/>
      <c r="K19" s="16"/>
      <c r="L19" s="16"/>
      <c r="M19" s="17"/>
      <c r="O19" s="418"/>
      <c r="P19" s="419"/>
      <c r="Q19" s="419"/>
      <c r="R19" s="419"/>
      <c r="S19" s="419"/>
      <c r="T19" s="419"/>
      <c r="U19" s="419"/>
      <c r="V19" s="420"/>
    </row>
    <row r="20" spans="1:22" ht="16.2" customHeight="1" x14ac:dyDescent="0.3">
      <c r="A20" s="385" t="s">
        <v>1990</v>
      </c>
      <c r="B20" s="386"/>
      <c r="C20" s="386"/>
      <c r="D20" s="386"/>
      <c r="E20" s="195">
        <f>IFERROR('Amend#3 Overview'!E20,"")</f>
        <v>0</v>
      </c>
      <c r="F20" s="16"/>
      <c r="G20" s="16"/>
      <c r="H20" s="16"/>
      <c r="I20" s="16"/>
      <c r="J20" s="16"/>
      <c r="K20" s="16"/>
      <c r="L20" s="16"/>
      <c r="M20" s="17"/>
    </row>
    <row r="21" spans="1:22" ht="16.2" customHeight="1" x14ac:dyDescent="0.3">
      <c r="A21" s="385" t="s">
        <v>1991</v>
      </c>
      <c r="B21" s="386"/>
      <c r="C21" s="386"/>
      <c r="D21" s="386"/>
      <c r="E21" s="195">
        <f>IFERROR('Amend#3 Overview'!E21,"")</f>
        <v>0</v>
      </c>
      <c r="F21" s="16"/>
      <c r="G21" s="16"/>
      <c r="H21" s="16"/>
      <c r="I21" s="16"/>
      <c r="J21" s="16"/>
      <c r="K21" s="16"/>
      <c r="L21" s="16"/>
      <c r="M21" s="17"/>
    </row>
    <row r="22" spans="1:22" ht="16.2" customHeight="1" x14ac:dyDescent="0.3">
      <c r="A22" s="385" t="s">
        <v>1992</v>
      </c>
      <c r="B22" s="386"/>
      <c r="C22" s="386"/>
      <c r="D22" s="386"/>
      <c r="E22" s="195">
        <f>IFERROR('Amend#3 Overview'!E22,"")</f>
        <v>0</v>
      </c>
      <c r="F22" s="16"/>
      <c r="G22" s="16"/>
      <c r="H22" s="16"/>
      <c r="I22" s="16"/>
      <c r="J22" s="16"/>
      <c r="K22" s="16"/>
      <c r="L22" s="16"/>
      <c r="M22" s="17"/>
    </row>
    <row r="23" spans="1:22" ht="16.2" customHeight="1" x14ac:dyDescent="0.3">
      <c r="A23" s="385" t="s">
        <v>1993</v>
      </c>
      <c r="B23" s="386"/>
      <c r="C23" s="386"/>
      <c r="D23" s="386"/>
      <c r="E23" s="195">
        <f>IFERROR('Amend#3 Overview'!E23,"")</f>
        <v>0</v>
      </c>
      <c r="F23" s="16"/>
      <c r="G23" s="16"/>
      <c r="H23" s="16"/>
      <c r="I23" s="16"/>
      <c r="J23" s="16"/>
      <c r="K23" s="16"/>
      <c r="L23" s="16"/>
      <c r="M23" s="17"/>
    </row>
    <row r="24" spans="1:22" ht="16.2" customHeight="1" x14ac:dyDescent="0.3">
      <c r="A24" s="385" t="s">
        <v>1994</v>
      </c>
      <c r="B24" s="386"/>
      <c r="C24" s="386"/>
      <c r="D24" s="386"/>
      <c r="E24" s="195">
        <f>IFERROR('Amend#3 Overview'!E24,"")</f>
        <v>0</v>
      </c>
      <c r="F24" s="16"/>
      <c r="G24" s="16"/>
      <c r="H24" s="16"/>
      <c r="I24" s="16"/>
      <c r="J24" s="16"/>
      <c r="K24" s="16"/>
      <c r="L24" s="16"/>
      <c r="M24" s="17"/>
    </row>
    <row r="25" spans="1:22" ht="4.8" customHeight="1" x14ac:dyDescent="0.3">
      <c r="A25" s="388"/>
      <c r="B25" s="389"/>
      <c r="C25" s="389"/>
      <c r="D25" s="389"/>
      <c r="E25" s="389"/>
      <c r="F25" s="389"/>
      <c r="G25" s="389"/>
      <c r="H25" s="389"/>
      <c r="I25" s="389"/>
      <c r="J25" s="389"/>
      <c r="K25" s="389"/>
      <c r="L25" s="389"/>
      <c r="M25" s="390"/>
    </row>
    <row r="26" spans="1:22" x14ac:dyDescent="0.3">
      <c r="A26" s="387"/>
      <c r="B26" s="387"/>
      <c r="C26" s="387"/>
      <c r="D26" s="387"/>
      <c r="E26" s="387"/>
      <c r="F26" s="387"/>
      <c r="G26" s="387"/>
      <c r="H26" s="387"/>
      <c r="I26" s="387"/>
      <c r="J26" s="387"/>
      <c r="K26" s="387"/>
      <c r="L26" s="387"/>
      <c r="M26" s="387"/>
    </row>
    <row r="27" spans="1:22" ht="49.2" customHeight="1" x14ac:dyDescent="0.3">
      <c r="A27" s="39"/>
      <c r="B27" s="39"/>
      <c r="C27" s="39"/>
      <c r="D27" s="39"/>
      <c r="E27" s="39"/>
      <c r="F27" s="39"/>
      <c r="G27" s="39"/>
      <c r="H27" s="39"/>
      <c r="I27" s="39"/>
      <c r="J27" s="39"/>
      <c r="K27" s="39"/>
      <c r="L27" s="39"/>
      <c r="M27" s="39"/>
    </row>
    <row r="28" spans="1:22" x14ac:dyDescent="0.3">
      <c r="A28" s="40"/>
      <c r="B28" s="39"/>
      <c r="C28" s="39"/>
      <c r="D28" s="39"/>
      <c r="E28" s="39"/>
      <c r="F28" s="39"/>
      <c r="G28" s="39"/>
      <c r="H28" s="39"/>
      <c r="I28" s="39"/>
      <c r="J28" s="39"/>
      <c r="K28" s="39"/>
      <c r="L28" s="39"/>
      <c r="M28" s="39"/>
    </row>
    <row r="29" spans="1:22" x14ac:dyDescent="0.3">
      <c r="A29" s="383"/>
      <c r="B29" s="384"/>
      <c r="C29" s="384"/>
      <c r="D29" s="384"/>
      <c r="E29" s="384"/>
      <c r="F29" s="384"/>
      <c r="G29" s="384"/>
      <c r="H29" s="384"/>
      <c r="I29" s="384"/>
      <c r="J29" s="384"/>
      <c r="K29" s="384"/>
      <c r="L29" s="384"/>
      <c r="M29" s="384"/>
    </row>
    <row r="30" spans="1:22" x14ac:dyDescent="0.3">
      <c r="A30" s="39"/>
      <c r="B30" s="39"/>
      <c r="C30" s="39"/>
      <c r="D30" s="39"/>
      <c r="E30" s="39"/>
      <c r="F30" s="39"/>
      <c r="G30" s="39"/>
      <c r="H30" s="39"/>
      <c r="I30" s="39"/>
      <c r="J30" s="39"/>
      <c r="K30" s="39"/>
      <c r="L30" s="39"/>
      <c r="M30" s="39"/>
    </row>
    <row r="31" spans="1:22" x14ac:dyDescent="0.3">
      <c r="A31" s="39"/>
      <c r="B31" s="39"/>
      <c r="C31" s="39"/>
      <c r="D31" s="39"/>
      <c r="E31" s="39"/>
      <c r="F31" s="39"/>
      <c r="G31" s="39"/>
      <c r="H31" s="39"/>
      <c r="I31" s="39"/>
      <c r="J31" s="39"/>
      <c r="K31" s="39"/>
      <c r="L31" s="39"/>
      <c r="M31" s="39"/>
    </row>
    <row r="32" spans="1:22" x14ac:dyDescent="0.3">
      <c r="A32" s="39"/>
      <c r="B32" s="39"/>
      <c r="C32" s="39"/>
      <c r="D32" s="39"/>
      <c r="E32" s="39"/>
      <c r="F32" s="39"/>
      <c r="G32" s="39"/>
      <c r="H32" s="39"/>
      <c r="I32" s="39"/>
      <c r="J32" s="39"/>
      <c r="K32" s="39"/>
      <c r="L32" s="39"/>
      <c r="M32" s="39"/>
    </row>
    <row r="33" spans="1:13" x14ac:dyDescent="0.3">
      <c r="A33" s="39"/>
      <c r="B33" s="39"/>
      <c r="C33" s="39"/>
      <c r="D33" s="39"/>
      <c r="E33" s="39"/>
      <c r="F33" s="39"/>
      <c r="G33" s="39"/>
      <c r="H33" s="39"/>
      <c r="I33" s="39"/>
      <c r="J33" s="39"/>
      <c r="K33" s="39"/>
      <c r="L33" s="39"/>
      <c r="M33" s="39"/>
    </row>
    <row r="34" spans="1:13" x14ac:dyDescent="0.3">
      <c r="A34" s="39"/>
      <c r="B34" s="39"/>
      <c r="C34" s="39"/>
      <c r="D34" s="39"/>
      <c r="E34" s="39"/>
      <c r="F34" s="39"/>
      <c r="G34" s="39"/>
      <c r="H34" s="39"/>
      <c r="I34" s="39"/>
      <c r="J34" s="39"/>
      <c r="K34" s="39"/>
      <c r="L34" s="39"/>
      <c r="M34" s="39"/>
    </row>
    <row r="35" spans="1:13" x14ac:dyDescent="0.3">
      <c r="A35" s="39"/>
      <c r="B35" s="39"/>
      <c r="C35" s="39"/>
      <c r="D35" s="39"/>
      <c r="E35" s="39"/>
      <c r="F35" s="39"/>
      <c r="G35" s="39"/>
      <c r="H35" s="39"/>
      <c r="I35" s="39"/>
      <c r="J35" s="39"/>
      <c r="K35" s="39"/>
      <c r="L35" s="39"/>
      <c r="M35" s="39"/>
    </row>
    <row r="36" spans="1:13" x14ac:dyDescent="0.3">
      <c r="A36" s="39"/>
      <c r="B36" s="39"/>
      <c r="C36" s="39"/>
      <c r="D36" s="39"/>
      <c r="E36" s="39"/>
      <c r="F36" s="39"/>
      <c r="G36" s="39"/>
      <c r="H36" s="39"/>
      <c r="I36" s="39"/>
      <c r="J36" s="39"/>
      <c r="K36" s="39"/>
      <c r="L36" s="39"/>
      <c r="M36" s="39"/>
    </row>
    <row r="37" spans="1:13" x14ac:dyDescent="0.3">
      <c r="A37" s="39"/>
      <c r="B37" s="39"/>
      <c r="C37" s="39"/>
      <c r="D37" s="39"/>
      <c r="E37" s="39"/>
      <c r="F37" s="39"/>
      <c r="G37" s="39"/>
      <c r="H37" s="39"/>
      <c r="I37" s="39"/>
      <c r="J37" s="39"/>
      <c r="K37" s="39"/>
      <c r="L37" s="39"/>
      <c r="M37" s="39"/>
    </row>
    <row r="38" spans="1:13" x14ac:dyDescent="0.3">
      <c r="A38" s="39"/>
      <c r="B38" s="39"/>
      <c r="C38" s="39"/>
      <c r="D38" s="39"/>
      <c r="E38" s="39"/>
      <c r="F38" s="39"/>
      <c r="G38" s="39"/>
      <c r="H38" s="39"/>
      <c r="I38" s="39"/>
      <c r="J38" s="39"/>
      <c r="K38" s="39"/>
      <c r="L38" s="39"/>
      <c r="M38" s="39"/>
    </row>
    <row r="39" spans="1:13" x14ac:dyDescent="0.3">
      <c r="A39" s="39"/>
      <c r="B39" s="39"/>
      <c r="C39" s="39"/>
      <c r="D39" s="39"/>
      <c r="E39" s="39"/>
      <c r="F39" s="39"/>
      <c r="G39" s="39"/>
      <c r="H39" s="39"/>
      <c r="I39" s="39"/>
      <c r="J39" s="39"/>
      <c r="K39" s="39"/>
      <c r="L39" s="39"/>
      <c r="M39" s="39"/>
    </row>
    <row r="40" spans="1:13" x14ac:dyDescent="0.3">
      <c r="A40" s="39"/>
      <c r="B40" s="39"/>
      <c r="C40" s="39"/>
      <c r="D40" s="39"/>
      <c r="E40" s="39"/>
      <c r="F40" s="39"/>
      <c r="G40" s="39"/>
      <c r="H40" s="39"/>
      <c r="I40" s="39"/>
      <c r="J40" s="39"/>
      <c r="K40" s="39"/>
      <c r="L40" s="39"/>
      <c r="M40" s="39"/>
    </row>
    <row r="41" spans="1:13" x14ac:dyDescent="0.3">
      <c r="A41" s="39"/>
      <c r="B41" s="39"/>
      <c r="C41" s="39"/>
      <c r="D41" s="39"/>
      <c r="E41" s="39"/>
      <c r="F41" s="39"/>
      <c r="G41" s="39"/>
      <c r="H41" s="39"/>
      <c r="I41" s="39"/>
      <c r="J41" s="39"/>
      <c r="K41" s="39"/>
      <c r="L41" s="39"/>
      <c r="M41" s="39"/>
    </row>
    <row r="42" spans="1:13" x14ac:dyDescent="0.3">
      <c r="A42" s="39"/>
      <c r="B42" s="39"/>
      <c r="C42" s="39"/>
      <c r="D42" s="39"/>
      <c r="E42" s="39"/>
      <c r="F42" s="39"/>
      <c r="G42" s="39"/>
      <c r="H42" s="39"/>
      <c r="I42" s="39"/>
      <c r="J42" s="39"/>
      <c r="K42" s="39"/>
      <c r="L42" s="39"/>
      <c r="M42" s="39"/>
    </row>
    <row r="43" spans="1:13" x14ac:dyDescent="0.3">
      <c r="A43" s="39"/>
      <c r="B43" s="39"/>
      <c r="C43" s="39"/>
      <c r="D43" s="39"/>
      <c r="E43" s="39"/>
      <c r="F43" s="39"/>
      <c r="G43" s="39"/>
      <c r="H43" s="39"/>
      <c r="I43" s="39"/>
      <c r="J43" s="39"/>
      <c r="K43" s="39"/>
      <c r="L43" s="39"/>
      <c r="M43" s="39"/>
    </row>
    <row r="44" spans="1:13" x14ac:dyDescent="0.3">
      <c r="A44" s="39"/>
      <c r="B44" s="39"/>
      <c r="C44" s="39"/>
      <c r="D44" s="39"/>
      <c r="E44" s="39"/>
      <c r="F44" s="39"/>
      <c r="G44" s="39"/>
      <c r="H44" s="39"/>
      <c r="I44" s="39"/>
      <c r="J44" s="39"/>
      <c r="K44" s="39"/>
      <c r="L44" s="39"/>
      <c r="M44" s="39"/>
    </row>
    <row r="45" spans="1:13" x14ac:dyDescent="0.3">
      <c r="A45" s="39"/>
      <c r="B45" s="39"/>
      <c r="C45" s="39"/>
      <c r="D45" s="39"/>
      <c r="E45" s="39"/>
      <c r="F45" s="39"/>
      <c r="G45" s="39"/>
      <c r="H45" s="39"/>
      <c r="I45" s="39"/>
      <c r="J45" s="39"/>
      <c r="K45" s="39"/>
      <c r="L45" s="39"/>
      <c r="M45" s="39"/>
    </row>
    <row r="46" spans="1:13" x14ac:dyDescent="0.3">
      <c r="A46" s="39"/>
      <c r="B46" s="39"/>
      <c r="C46" s="39"/>
      <c r="D46" s="39"/>
      <c r="E46" s="39"/>
      <c r="F46" s="39"/>
      <c r="G46" s="39"/>
      <c r="H46" s="39"/>
      <c r="I46" s="39"/>
      <c r="J46" s="39"/>
      <c r="K46" s="39"/>
      <c r="L46" s="39"/>
      <c r="M46" s="39"/>
    </row>
    <row r="47" spans="1:13" x14ac:dyDescent="0.3">
      <c r="A47" s="39"/>
      <c r="B47" s="39"/>
      <c r="C47" s="39"/>
      <c r="D47" s="39"/>
      <c r="E47" s="39"/>
      <c r="F47" s="39"/>
      <c r="G47" s="39"/>
      <c r="H47" s="39"/>
      <c r="I47" s="39"/>
      <c r="J47" s="39"/>
      <c r="K47" s="39"/>
      <c r="L47" s="39"/>
      <c r="M47" s="39"/>
    </row>
    <row r="48" spans="1:13" x14ac:dyDescent="0.3">
      <c r="A48" s="39"/>
      <c r="B48" s="39"/>
      <c r="C48" s="39"/>
      <c r="D48" s="39"/>
      <c r="E48" s="39"/>
      <c r="F48" s="39"/>
      <c r="G48" s="39"/>
      <c r="H48" s="39"/>
      <c r="I48" s="39"/>
      <c r="J48" s="39"/>
      <c r="K48" s="39"/>
      <c r="L48" s="39"/>
      <c r="M48" s="39"/>
    </row>
    <row r="49" spans="1:13" x14ac:dyDescent="0.3">
      <c r="A49" s="39"/>
      <c r="B49" s="39"/>
      <c r="C49" s="39"/>
      <c r="D49" s="39"/>
      <c r="E49" s="39"/>
      <c r="F49" s="39"/>
      <c r="G49" s="39"/>
      <c r="H49" s="39"/>
      <c r="I49" s="39"/>
      <c r="J49" s="39"/>
      <c r="K49" s="39"/>
      <c r="L49" s="39"/>
      <c r="M49" s="39"/>
    </row>
    <row r="50" spans="1:13" x14ac:dyDescent="0.3">
      <c r="A50" s="39"/>
      <c r="B50" s="39"/>
      <c r="C50" s="39"/>
      <c r="D50" s="39"/>
      <c r="E50" s="39"/>
      <c r="F50" s="39"/>
      <c r="G50" s="39"/>
      <c r="H50" s="39"/>
      <c r="I50" s="39"/>
      <c r="J50" s="39"/>
      <c r="K50" s="39"/>
      <c r="L50" s="39"/>
      <c r="M50" s="39"/>
    </row>
    <row r="51" spans="1:13" x14ac:dyDescent="0.3">
      <c r="A51" s="39"/>
      <c r="B51" s="39"/>
      <c r="C51" s="39"/>
      <c r="D51" s="39"/>
      <c r="E51" s="39"/>
      <c r="F51" s="39"/>
      <c r="G51" s="39"/>
      <c r="H51" s="39"/>
      <c r="I51" s="39"/>
      <c r="J51" s="39"/>
      <c r="K51" s="39"/>
      <c r="L51" s="39"/>
      <c r="M51" s="39"/>
    </row>
    <row r="52" spans="1:13" x14ac:dyDescent="0.3">
      <c r="A52" s="39"/>
      <c r="B52" s="39"/>
      <c r="C52" s="39"/>
      <c r="D52" s="39"/>
      <c r="E52" s="39"/>
      <c r="F52" s="39"/>
      <c r="G52" s="39"/>
      <c r="H52" s="39"/>
      <c r="I52" s="39"/>
      <c r="J52" s="39"/>
      <c r="K52" s="39"/>
      <c r="L52" s="39"/>
      <c r="M52" s="39"/>
    </row>
    <row r="53" spans="1:13" x14ac:dyDescent="0.3">
      <c r="A53" s="39"/>
      <c r="B53" s="39"/>
      <c r="C53" s="39"/>
      <c r="D53" s="39"/>
      <c r="E53" s="39"/>
      <c r="F53" s="39"/>
      <c r="G53" s="39"/>
      <c r="H53" s="39"/>
      <c r="I53" s="39"/>
      <c r="J53" s="39"/>
      <c r="K53" s="39"/>
      <c r="L53" s="39"/>
      <c r="M53" s="39"/>
    </row>
  </sheetData>
  <sheetProtection algorithmName="SHA-512" hashValue="6hRvLX2sddcLdSAbZLz15CD7wgqkwekDdX+0AgBh/X5B17fPvOIiHapLcyq5bc4Ihp9Y9Kv0ssG2Zvexh6QMTA==" saltValue="YbkYd8XyAFnnrMgl2TiLvg==" spinCount="100000" sheet="1" objects="1" scenarios="1" selectLockedCells="1"/>
  <protectedRanges>
    <protectedRange algorithmName="SHA-512" hashValue="lNcqq/b/lsnk95iB5XHq0PCRQDc9dvC4IFp0U4snaSUCM/moZUJf/mRHSIBefPWpvI8noEnjLM38ZtAzyO/BWg==" saltValue="a2+SEoRuu63mT/5dVMI08Q==" spinCount="100000" sqref="B16:L18" name="Focus Area"/>
    <protectedRange algorithmName="SHA-512" hashValue="ipynFNZn0pufBFEZADZeeAyGEi+JWV8nHAUrbiPJ9Y8g9QC+WWj4zRY2j6wWwZ/NtKTO0cVBUWW4uM5rZUCeOQ==" saltValue="1VZ+Zn1PkH6cBPffDs1L1w==" spinCount="100000" sqref="G14:M15" name="Total Allocation_1"/>
  </protectedRanges>
  <mergeCells count="54">
    <mergeCell ref="O1:V1"/>
    <mergeCell ref="O2:V5"/>
    <mergeCell ref="A7:B7"/>
    <mergeCell ref="C7:E7"/>
    <mergeCell ref="G7:I7"/>
    <mergeCell ref="K7:M7"/>
    <mergeCell ref="A1:M1"/>
    <mergeCell ref="A2:M2"/>
    <mergeCell ref="A4:B4"/>
    <mergeCell ref="C4:M4"/>
    <mergeCell ref="C5:M5"/>
    <mergeCell ref="A8:B8"/>
    <mergeCell ref="A10:F10"/>
    <mergeCell ref="G10:H10"/>
    <mergeCell ref="I10:M10"/>
    <mergeCell ref="A6:B6"/>
    <mergeCell ref="C6:E6"/>
    <mergeCell ref="G6:I6"/>
    <mergeCell ref="K6:M6"/>
    <mergeCell ref="C8:E8"/>
    <mergeCell ref="G8:I8"/>
    <mergeCell ref="K8:M8"/>
    <mergeCell ref="A9:F9"/>
    <mergeCell ref="G9:M9"/>
    <mergeCell ref="G11:H11"/>
    <mergeCell ref="I11:J11"/>
    <mergeCell ref="G12:H12"/>
    <mergeCell ref="I12:M12"/>
    <mergeCell ref="O7:V8"/>
    <mergeCell ref="O9:V19"/>
    <mergeCell ref="A13:F13"/>
    <mergeCell ref="G13:H13"/>
    <mergeCell ref="I13:M13"/>
    <mergeCell ref="A14:F14"/>
    <mergeCell ref="G14:H14"/>
    <mergeCell ref="I14:M14"/>
    <mergeCell ref="A15:F15"/>
    <mergeCell ref="G15:H15"/>
    <mergeCell ref="I15:J15"/>
    <mergeCell ref="B16:D16"/>
    <mergeCell ref="F16:H16"/>
    <mergeCell ref="J16:L16"/>
    <mergeCell ref="A29:M29"/>
    <mergeCell ref="B17:D17"/>
    <mergeCell ref="F17:H17"/>
    <mergeCell ref="J17:L17"/>
    <mergeCell ref="A19:D19"/>
    <mergeCell ref="A20:D20"/>
    <mergeCell ref="A21:D21"/>
    <mergeCell ref="A22:D22"/>
    <mergeCell ref="A23:D23"/>
    <mergeCell ref="A24:D24"/>
    <mergeCell ref="A25:M25"/>
    <mergeCell ref="A26:M26"/>
  </mergeCells>
  <conditionalFormatting sqref="B16:D16">
    <cfRule type="cellIs" dxfId="44" priority="8" operator="between">
      <formula>0.01</formula>
      <formula>1</formula>
    </cfRule>
  </conditionalFormatting>
  <conditionalFormatting sqref="F16:H16">
    <cfRule type="cellIs" dxfId="43" priority="7" operator="between">
      <formula>0.01</formula>
      <formula>1</formula>
    </cfRule>
  </conditionalFormatting>
  <conditionalFormatting sqref="J16:L16">
    <cfRule type="cellIs" dxfId="42" priority="5" operator="equal">
      <formula>1</formula>
    </cfRule>
  </conditionalFormatting>
  <conditionalFormatting sqref="G15:H15">
    <cfRule type="expression" dxfId="41" priority="1">
      <formula>$G$15&gt;$I$15</formula>
    </cfRule>
    <cfRule type="expression" dxfId="40" priority="2">
      <formula>$G$15=$I$15</formula>
    </cfRule>
    <cfRule type="expression" dxfId="39" priority="3">
      <formula>$G$15&lt;$I$15</formula>
    </cfRule>
  </conditionalFormatting>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4" id="{67F1EC6E-48AD-4ED5-B6D2-FBBF991FF2B0}">
            <xm:f>'Amend#2 Main Budget'!$M$23&lt;=G15</xm:f>
            <x14:dxf/>
          </x14:cfRule>
          <xm:sqref>M23</xm:sqref>
        </x14:conditionalFormatting>
      </x14:conditionalFormattings>
    </ext>
  </extLs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AD439-7F34-4F7C-9915-DFF1A580B0E9}">
  <sheetPr codeName="Sheet29">
    <tabColor theme="5" tint="0.39997558519241921"/>
  </sheetPr>
  <dimension ref="A1:O58"/>
  <sheetViews>
    <sheetView showGridLines="0" tabSelected="1" zoomScaleNormal="100" workbookViewId="0">
      <selection activeCell="J7" sqref="J7:L7"/>
    </sheetView>
  </sheetViews>
  <sheetFormatPr defaultColWidth="8.88671875" defaultRowHeight="14.4" x14ac:dyDescent="0.3"/>
  <cols>
    <col min="1" max="9" width="8.88671875" style="14"/>
    <col min="10" max="10" width="9.88671875" style="14" customWidth="1"/>
    <col min="11" max="14" width="8.88671875" style="14"/>
    <col min="15" max="15" width="3.109375" style="14" customWidth="1"/>
    <col min="16" max="16384" width="8.88671875" style="14"/>
  </cols>
  <sheetData>
    <row r="1" spans="1:13" ht="24" x14ac:dyDescent="0.3">
      <c r="A1" s="786" t="s">
        <v>133</v>
      </c>
      <c r="B1" s="786"/>
      <c r="C1" s="786"/>
      <c r="D1" s="786"/>
      <c r="E1" s="786"/>
      <c r="F1" s="786"/>
      <c r="G1" s="786"/>
      <c r="H1" s="786"/>
      <c r="I1" s="786"/>
      <c r="J1" s="786"/>
      <c r="K1" s="786"/>
      <c r="L1" s="786"/>
      <c r="M1" s="786"/>
    </row>
    <row r="2" spans="1:13" x14ac:dyDescent="0.3">
      <c r="A2" s="435" t="s">
        <v>100</v>
      </c>
      <c r="B2" s="435"/>
      <c r="C2" s="435"/>
      <c r="D2" s="435"/>
      <c r="E2" s="435"/>
      <c r="F2" s="435"/>
      <c r="G2" s="435"/>
      <c r="H2" s="435"/>
      <c r="I2" s="435"/>
      <c r="J2" s="435"/>
      <c r="K2" s="435"/>
      <c r="L2" s="435"/>
      <c r="M2" s="435"/>
    </row>
    <row r="3" spans="1:13" x14ac:dyDescent="0.3">
      <c r="A3" s="196"/>
      <c r="B3" s="235"/>
      <c r="C3" s="235"/>
      <c r="D3" s="235"/>
      <c r="E3" s="235"/>
      <c r="F3" s="235"/>
      <c r="G3" s="235"/>
      <c r="H3" s="235"/>
      <c r="I3" s="235"/>
      <c r="J3" s="235"/>
      <c r="K3" s="235"/>
      <c r="L3" s="235"/>
      <c r="M3" s="197"/>
    </row>
    <row r="4" spans="1:13" ht="15" thickBot="1" x14ac:dyDescent="0.35">
      <c r="A4" s="198"/>
      <c r="B4" s="30"/>
      <c r="C4" s="724">
        <f>'Equitable Share'!C4</f>
        <v>0</v>
      </c>
      <c r="D4" s="724"/>
      <c r="E4" s="199" t="s">
        <v>102</v>
      </c>
      <c r="F4" s="464">
        <f>I56</f>
        <v>0</v>
      </c>
      <c r="G4" s="464"/>
      <c r="H4" s="464"/>
      <c r="I4" s="199" t="s">
        <v>104</v>
      </c>
      <c r="J4" s="470">
        <f>C4+F4</f>
        <v>0</v>
      </c>
      <c r="K4" s="470"/>
      <c r="L4" s="470"/>
      <c r="M4" s="200"/>
    </row>
    <row r="5" spans="1:13" x14ac:dyDescent="0.3">
      <c r="A5" s="198"/>
      <c r="B5" s="30"/>
      <c r="C5" s="462" t="s">
        <v>99</v>
      </c>
      <c r="D5" s="462"/>
      <c r="E5" s="30"/>
      <c r="F5" s="462" t="s">
        <v>103</v>
      </c>
      <c r="G5" s="462"/>
      <c r="H5" s="462"/>
      <c r="I5" s="462"/>
      <c r="J5" s="469" t="s">
        <v>101</v>
      </c>
      <c r="K5" s="469"/>
      <c r="L5" s="469"/>
      <c r="M5" s="200"/>
    </row>
    <row r="6" spans="1:13" ht="9.6" customHeight="1" x14ac:dyDescent="0.3">
      <c r="A6" s="198"/>
      <c r="B6" s="30"/>
      <c r="C6" s="231"/>
      <c r="D6" s="231"/>
      <c r="E6" s="30"/>
      <c r="F6" s="231"/>
      <c r="G6" s="231"/>
      <c r="H6" s="231"/>
      <c r="I6" s="231"/>
      <c r="J6" s="30"/>
      <c r="K6" s="30"/>
      <c r="L6" s="30"/>
      <c r="M6" s="200"/>
    </row>
    <row r="7" spans="1:13" ht="15" thickBot="1" x14ac:dyDescent="0.35">
      <c r="A7" s="198"/>
      <c r="B7" s="30"/>
      <c r="C7" s="471" t="str">
        <f>IFERROR('Amend#4 Overview'!G12," ")</f>
        <v/>
      </c>
      <c r="D7" s="464"/>
      <c r="E7" s="199" t="s">
        <v>111</v>
      </c>
      <c r="F7" s="472">
        <f>J4</f>
        <v>0</v>
      </c>
      <c r="G7" s="464"/>
      <c r="H7" s="464"/>
      <c r="I7" s="199" t="s">
        <v>104</v>
      </c>
      <c r="J7" s="802" t="str">
        <f>IFERROR((C7/F7),"")</f>
        <v/>
      </c>
      <c r="K7" s="802"/>
      <c r="L7" s="802"/>
      <c r="M7" s="200"/>
    </row>
    <row r="8" spans="1:13" x14ac:dyDescent="0.3">
      <c r="A8" s="198"/>
      <c r="B8" s="30"/>
      <c r="C8" s="462" t="s">
        <v>178</v>
      </c>
      <c r="D8" s="462"/>
      <c r="E8" s="30"/>
      <c r="F8" s="30" t="s">
        <v>101</v>
      </c>
      <c r="G8" s="30"/>
      <c r="H8" s="30"/>
      <c r="I8" s="30"/>
      <c r="J8" s="465" t="s">
        <v>105</v>
      </c>
      <c r="K8" s="465"/>
      <c r="L8" s="465"/>
      <c r="M8" s="200"/>
    </row>
    <row r="9" spans="1:13" ht="9.6" customHeight="1" x14ac:dyDescent="0.3">
      <c r="A9" s="198"/>
      <c r="B9" s="30"/>
      <c r="C9" s="30"/>
      <c r="D9" s="30"/>
      <c r="E9" s="30"/>
      <c r="F9" s="30"/>
      <c r="G9" s="30"/>
      <c r="H9" s="30"/>
      <c r="I9" s="30"/>
      <c r="J9" s="30"/>
      <c r="K9" s="30"/>
      <c r="L9" s="30"/>
      <c r="M9" s="200"/>
    </row>
    <row r="10" spans="1:13" x14ac:dyDescent="0.3">
      <c r="A10" s="201"/>
      <c r="B10" s="202"/>
      <c r="C10" s="202"/>
      <c r="D10" s="202"/>
      <c r="E10" s="202"/>
      <c r="F10" s="202"/>
      <c r="G10" s="202"/>
      <c r="H10" s="202"/>
      <c r="I10" s="202"/>
      <c r="J10" s="202"/>
      <c r="K10" s="202"/>
      <c r="L10" s="202"/>
      <c r="M10" s="203"/>
    </row>
    <row r="11" spans="1:13" s="59" customFormat="1" ht="43.2" customHeight="1" x14ac:dyDescent="0.3">
      <c r="A11" s="466" t="s">
        <v>106</v>
      </c>
      <c r="B11" s="467"/>
      <c r="C11" s="467"/>
      <c r="D11" s="467" t="s">
        <v>107</v>
      </c>
      <c r="E11" s="467"/>
      <c r="F11" s="467"/>
      <c r="G11" s="467"/>
      <c r="H11" s="467"/>
      <c r="I11" s="467" t="s">
        <v>2032</v>
      </c>
      <c r="J11" s="467"/>
      <c r="K11" s="467" t="s">
        <v>110</v>
      </c>
      <c r="L11" s="467"/>
      <c r="M11" s="468"/>
    </row>
    <row r="12" spans="1:13" x14ac:dyDescent="0.3">
      <c r="A12" s="711">
        <f>'Equitable Share'!$A12</f>
        <v>0</v>
      </c>
      <c r="B12" s="711"/>
      <c r="C12" s="711"/>
      <c r="D12" s="460" t="str">
        <f>'Equitable Share'!D12</f>
        <v xml:space="preserve"> </v>
      </c>
      <c r="E12" s="460"/>
      <c r="F12" s="460"/>
      <c r="G12" s="460"/>
      <c r="H12" s="460"/>
      <c r="I12" s="712">
        <f>'Equitable Share'!I12</f>
        <v>0</v>
      </c>
      <c r="J12" s="712"/>
      <c r="K12" s="713" t="str">
        <f>IFERROR(I12*$J$7," ")</f>
        <v xml:space="preserve"> </v>
      </c>
      <c r="L12" s="714"/>
      <c r="M12" s="715"/>
    </row>
    <row r="13" spans="1:13" x14ac:dyDescent="0.3">
      <c r="A13" s="744">
        <f>'Equitable Share'!$A13</f>
        <v>0</v>
      </c>
      <c r="B13" s="744"/>
      <c r="C13" s="744"/>
      <c r="D13" s="459" t="str">
        <f>'Equitable Share'!D13</f>
        <v xml:space="preserve"> </v>
      </c>
      <c r="E13" s="459"/>
      <c r="F13" s="459"/>
      <c r="G13" s="459"/>
      <c r="H13" s="459"/>
      <c r="I13" s="719">
        <f>'Equitable Share'!I13</f>
        <v>0</v>
      </c>
      <c r="J13" s="719"/>
      <c r="K13" s="720" t="str">
        <f t="shared" ref="K13:K56" si="0">IFERROR(I13*$J$7," ")</f>
        <v xml:space="preserve"> </v>
      </c>
      <c r="L13" s="721"/>
      <c r="M13" s="722"/>
    </row>
    <row r="14" spans="1:13" x14ac:dyDescent="0.3">
      <c r="A14" s="711">
        <f>'Equitable Share'!$A14</f>
        <v>0</v>
      </c>
      <c r="B14" s="711"/>
      <c r="C14" s="711"/>
      <c r="D14" s="460" t="str">
        <f>'Equitable Share'!D14</f>
        <v xml:space="preserve"> </v>
      </c>
      <c r="E14" s="460"/>
      <c r="F14" s="460"/>
      <c r="G14" s="460"/>
      <c r="H14" s="460"/>
      <c r="I14" s="712">
        <f>'Equitable Share'!I14</f>
        <v>0</v>
      </c>
      <c r="J14" s="712"/>
      <c r="K14" s="713" t="str">
        <f t="shared" si="0"/>
        <v xml:space="preserve"> </v>
      </c>
      <c r="L14" s="714"/>
      <c r="M14" s="715"/>
    </row>
    <row r="15" spans="1:13" x14ac:dyDescent="0.3">
      <c r="A15" s="744">
        <f>'Equitable Share'!$A15</f>
        <v>0</v>
      </c>
      <c r="B15" s="744"/>
      <c r="C15" s="744"/>
      <c r="D15" s="459" t="str">
        <f>'Equitable Share'!D15</f>
        <v xml:space="preserve"> </v>
      </c>
      <c r="E15" s="459"/>
      <c r="F15" s="459"/>
      <c r="G15" s="459"/>
      <c r="H15" s="459"/>
      <c r="I15" s="719">
        <f>'Equitable Share'!I15</f>
        <v>0</v>
      </c>
      <c r="J15" s="719"/>
      <c r="K15" s="720" t="str">
        <f t="shared" si="0"/>
        <v xml:space="preserve"> </v>
      </c>
      <c r="L15" s="721"/>
      <c r="M15" s="722"/>
    </row>
    <row r="16" spans="1:13" x14ac:dyDescent="0.3">
      <c r="A16" s="711">
        <f>'Equitable Share'!$A16</f>
        <v>0</v>
      </c>
      <c r="B16" s="711"/>
      <c r="C16" s="711"/>
      <c r="D16" s="460" t="str">
        <f>'Equitable Share'!D16</f>
        <v xml:space="preserve"> </v>
      </c>
      <c r="E16" s="460"/>
      <c r="F16" s="460"/>
      <c r="G16" s="460"/>
      <c r="H16" s="460"/>
      <c r="I16" s="712">
        <f>'Equitable Share'!I16</f>
        <v>0</v>
      </c>
      <c r="J16" s="712"/>
      <c r="K16" s="713" t="str">
        <f t="shared" si="0"/>
        <v xml:space="preserve"> </v>
      </c>
      <c r="L16" s="714"/>
      <c r="M16" s="715"/>
    </row>
    <row r="17" spans="1:13" x14ac:dyDescent="0.3">
      <c r="A17" s="744">
        <f>'Equitable Share'!$A17</f>
        <v>0</v>
      </c>
      <c r="B17" s="744"/>
      <c r="C17" s="744"/>
      <c r="D17" s="459" t="str">
        <f>'Equitable Share'!D17</f>
        <v xml:space="preserve"> </v>
      </c>
      <c r="E17" s="459"/>
      <c r="F17" s="459"/>
      <c r="G17" s="459"/>
      <c r="H17" s="459"/>
      <c r="I17" s="719">
        <f>'Equitable Share'!I17</f>
        <v>0</v>
      </c>
      <c r="J17" s="719"/>
      <c r="K17" s="720" t="str">
        <f t="shared" si="0"/>
        <v xml:space="preserve"> </v>
      </c>
      <c r="L17" s="721"/>
      <c r="M17" s="722"/>
    </row>
    <row r="18" spans="1:13" x14ac:dyDescent="0.3">
      <c r="A18" s="711">
        <f>'Equitable Share'!$A18</f>
        <v>0</v>
      </c>
      <c r="B18" s="711"/>
      <c r="C18" s="711"/>
      <c r="D18" s="460" t="str">
        <f>'Equitable Share'!D18</f>
        <v xml:space="preserve"> </v>
      </c>
      <c r="E18" s="460"/>
      <c r="F18" s="460"/>
      <c r="G18" s="460"/>
      <c r="H18" s="460"/>
      <c r="I18" s="712">
        <f>'Equitable Share'!I18</f>
        <v>0</v>
      </c>
      <c r="J18" s="712"/>
      <c r="K18" s="713" t="str">
        <f t="shared" si="0"/>
        <v xml:space="preserve"> </v>
      </c>
      <c r="L18" s="714"/>
      <c r="M18" s="715"/>
    </row>
    <row r="19" spans="1:13" x14ac:dyDescent="0.3">
      <c r="A19" s="744">
        <f>'Equitable Share'!$A19</f>
        <v>0</v>
      </c>
      <c r="B19" s="744"/>
      <c r="C19" s="744"/>
      <c r="D19" s="459" t="str">
        <f>'Equitable Share'!D19</f>
        <v xml:space="preserve"> </v>
      </c>
      <c r="E19" s="459"/>
      <c r="F19" s="459"/>
      <c r="G19" s="459"/>
      <c r="H19" s="459"/>
      <c r="I19" s="719">
        <f>'Equitable Share'!I19</f>
        <v>0</v>
      </c>
      <c r="J19" s="719"/>
      <c r="K19" s="720" t="str">
        <f t="shared" si="0"/>
        <v xml:space="preserve"> </v>
      </c>
      <c r="L19" s="721"/>
      <c r="M19" s="722"/>
    </row>
    <row r="20" spans="1:13" x14ac:dyDescent="0.3">
      <c r="A20" s="711">
        <f>'Equitable Share'!$A20</f>
        <v>0</v>
      </c>
      <c r="B20" s="711"/>
      <c r="C20" s="711"/>
      <c r="D20" s="460" t="str">
        <f>'Equitable Share'!D20</f>
        <v xml:space="preserve"> </v>
      </c>
      <c r="E20" s="460"/>
      <c r="F20" s="460"/>
      <c r="G20" s="460"/>
      <c r="H20" s="460"/>
      <c r="I20" s="712">
        <f>'Equitable Share'!I20</f>
        <v>0</v>
      </c>
      <c r="J20" s="712"/>
      <c r="K20" s="713" t="str">
        <f t="shared" si="0"/>
        <v xml:space="preserve"> </v>
      </c>
      <c r="L20" s="714"/>
      <c r="M20" s="715"/>
    </row>
    <row r="21" spans="1:13" x14ac:dyDescent="0.3">
      <c r="A21" s="744">
        <f>'Equitable Share'!$A21</f>
        <v>0</v>
      </c>
      <c r="B21" s="744"/>
      <c r="C21" s="744"/>
      <c r="D21" s="459" t="str">
        <f>'Equitable Share'!D21</f>
        <v xml:space="preserve"> </v>
      </c>
      <c r="E21" s="459"/>
      <c r="F21" s="459"/>
      <c r="G21" s="459"/>
      <c r="H21" s="459"/>
      <c r="I21" s="719">
        <f>'Equitable Share'!I21</f>
        <v>0</v>
      </c>
      <c r="J21" s="719"/>
      <c r="K21" s="720" t="str">
        <f t="shared" si="0"/>
        <v xml:space="preserve"> </v>
      </c>
      <c r="L21" s="721"/>
      <c r="M21" s="722"/>
    </row>
    <row r="22" spans="1:13" x14ac:dyDescent="0.3">
      <c r="A22" s="711">
        <f>'Equitable Share'!$A22</f>
        <v>0</v>
      </c>
      <c r="B22" s="711"/>
      <c r="C22" s="711"/>
      <c r="D22" s="460" t="str">
        <f>'Equitable Share'!D22</f>
        <v xml:space="preserve"> </v>
      </c>
      <c r="E22" s="460"/>
      <c r="F22" s="460"/>
      <c r="G22" s="460"/>
      <c r="H22" s="460"/>
      <c r="I22" s="712">
        <f>'Equitable Share'!I22</f>
        <v>0</v>
      </c>
      <c r="J22" s="712"/>
      <c r="K22" s="713" t="str">
        <f t="shared" si="0"/>
        <v xml:space="preserve"> </v>
      </c>
      <c r="L22" s="714"/>
      <c r="M22" s="715"/>
    </row>
    <row r="23" spans="1:13" x14ac:dyDescent="0.3">
      <c r="A23" s="744">
        <f>'Equitable Share'!$A23</f>
        <v>0</v>
      </c>
      <c r="B23" s="744"/>
      <c r="C23" s="744"/>
      <c r="D23" s="459" t="str">
        <f>'Equitable Share'!D23</f>
        <v xml:space="preserve"> </v>
      </c>
      <c r="E23" s="459"/>
      <c r="F23" s="459"/>
      <c r="G23" s="459"/>
      <c r="H23" s="459"/>
      <c r="I23" s="719">
        <f>'Equitable Share'!I23</f>
        <v>0</v>
      </c>
      <c r="J23" s="719"/>
      <c r="K23" s="720" t="str">
        <f t="shared" si="0"/>
        <v xml:space="preserve"> </v>
      </c>
      <c r="L23" s="721"/>
      <c r="M23" s="722"/>
    </row>
    <row r="24" spans="1:13" x14ac:dyDescent="0.3">
      <c r="A24" s="711">
        <f>'Equitable Share'!$A24</f>
        <v>0</v>
      </c>
      <c r="B24" s="711"/>
      <c r="C24" s="711"/>
      <c r="D24" s="460" t="str">
        <f>'Equitable Share'!D24</f>
        <v xml:space="preserve"> </v>
      </c>
      <c r="E24" s="460"/>
      <c r="F24" s="460"/>
      <c r="G24" s="460"/>
      <c r="H24" s="460"/>
      <c r="I24" s="712">
        <f>'Equitable Share'!I24</f>
        <v>0</v>
      </c>
      <c r="J24" s="712"/>
      <c r="K24" s="713" t="str">
        <f t="shared" si="0"/>
        <v xml:space="preserve"> </v>
      </c>
      <c r="L24" s="714"/>
      <c r="M24" s="715"/>
    </row>
    <row r="25" spans="1:13" x14ac:dyDescent="0.3">
      <c r="A25" s="744">
        <f>'Equitable Share'!$A25</f>
        <v>0</v>
      </c>
      <c r="B25" s="744"/>
      <c r="C25" s="744"/>
      <c r="D25" s="459" t="str">
        <f>'Equitable Share'!D25</f>
        <v xml:space="preserve"> </v>
      </c>
      <c r="E25" s="459"/>
      <c r="F25" s="459"/>
      <c r="G25" s="459"/>
      <c r="H25" s="459"/>
      <c r="I25" s="719">
        <f>'Equitable Share'!I25</f>
        <v>0</v>
      </c>
      <c r="J25" s="719"/>
      <c r="K25" s="720" t="str">
        <f t="shared" si="0"/>
        <v xml:space="preserve"> </v>
      </c>
      <c r="L25" s="721"/>
      <c r="M25" s="722"/>
    </row>
    <row r="26" spans="1:13" x14ac:dyDescent="0.3">
      <c r="A26" s="711">
        <f>'Equitable Share'!$A26</f>
        <v>0</v>
      </c>
      <c r="B26" s="711"/>
      <c r="C26" s="711"/>
      <c r="D26" s="460" t="str">
        <f>'Equitable Share'!D26</f>
        <v xml:space="preserve"> </v>
      </c>
      <c r="E26" s="460"/>
      <c r="F26" s="460"/>
      <c r="G26" s="460"/>
      <c r="H26" s="460"/>
      <c r="I26" s="712">
        <f>'Equitable Share'!I26</f>
        <v>0</v>
      </c>
      <c r="J26" s="712"/>
      <c r="K26" s="713" t="str">
        <f t="shared" si="0"/>
        <v xml:space="preserve"> </v>
      </c>
      <c r="L26" s="714"/>
      <c r="M26" s="715"/>
    </row>
    <row r="27" spans="1:13" x14ac:dyDescent="0.3">
      <c r="A27" s="744">
        <f>'Equitable Share'!$A27</f>
        <v>0</v>
      </c>
      <c r="B27" s="744"/>
      <c r="C27" s="744"/>
      <c r="D27" s="459" t="str">
        <f>'Equitable Share'!D27</f>
        <v xml:space="preserve"> </v>
      </c>
      <c r="E27" s="459"/>
      <c r="F27" s="459"/>
      <c r="G27" s="459"/>
      <c r="H27" s="459"/>
      <c r="I27" s="719">
        <f>'Equitable Share'!I27</f>
        <v>0</v>
      </c>
      <c r="J27" s="719"/>
      <c r="K27" s="720" t="str">
        <f t="shared" si="0"/>
        <v xml:space="preserve"> </v>
      </c>
      <c r="L27" s="721"/>
      <c r="M27" s="722"/>
    </row>
    <row r="28" spans="1:13" x14ac:dyDescent="0.3">
      <c r="A28" s="711">
        <f>'Equitable Share'!$A28</f>
        <v>0</v>
      </c>
      <c r="B28" s="711"/>
      <c r="C28" s="711"/>
      <c r="D28" s="460" t="str">
        <f>'Equitable Share'!D28</f>
        <v xml:space="preserve"> </v>
      </c>
      <c r="E28" s="460"/>
      <c r="F28" s="460"/>
      <c r="G28" s="460"/>
      <c r="H28" s="460"/>
      <c r="I28" s="712">
        <f>'Equitable Share'!I28</f>
        <v>0</v>
      </c>
      <c r="J28" s="712"/>
      <c r="K28" s="713" t="str">
        <f t="shared" si="0"/>
        <v xml:space="preserve"> </v>
      </c>
      <c r="L28" s="714"/>
      <c r="M28" s="715"/>
    </row>
    <row r="29" spans="1:13" x14ac:dyDescent="0.3">
      <c r="A29" s="744">
        <f>'Equitable Share'!$A29</f>
        <v>0</v>
      </c>
      <c r="B29" s="744"/>
      <c r="C29" s="744"/>
      <c r="D29" s="459" t="str">
        <f>'Equitable Share'!D29</f>
        <v xml:space="preserve"> </v>
      </c>
      <c r="E29" s="459"/>
      <c r="F29" s="459"/>
      <c r="G29" s="459"/>
      <c r="H29" s="459"/>
      <c r="I29" s="719">
        <f>'Equitable Share'!I29</f>
        <v>0</v>
      </c>
      <c r="J29" s="719"/>
      <c r="K29" s="720" t="str">
        <f t="shared" si="0"/>
        <v xml:space="preserve"> </v>
      </c>
      <c r="L29" s="721"/>
      <c r="M29" s="722"/>
    </row>
    <row r="30" spans="1:13" x14ac:dyDescent="0.3">
      <c r="A30" s="711">
        <f>'Equitable Share'!$A30</f>
        <v>0</v>
      </c>
      <c r="B30" s="711"/>
      <c r="C30" s="711"/>
      <c r="D30" s="460" t="str">
        <f>'Equitable Share'!D30</f>
        <v xml:space="preserve"> </v>
      </c>
      <c r="E30" s="460"/>
      <c r="F30" s="460"/>
      <c r="G30" s="460"/>
      <c r="H30" s="460"/>
      <c r="I30" s="712">
        <f>'Equitable Share'!I30</f>
        <v>0</v>
      </c>
      <c r="J30" s="712"/>
      <c r="K30" s="713" t="str">
        <f t="shared" si="0"/>
        <v xml:space="preserve"> </v>
      </c>
      <c r="L30" s="714"/>
      <c r="M30" s="715"/>
    </row>
    <row r="31" spans="1:13" x14ac:dyDescent="0.3">
      <c r="A31" s="744">
        <f>'Equitable Share'!$A31</f>
        <v>0</v>
      </c>
      <c r="B31" s="744"/>
      <c r="C31" s="744"/>
      <c r="D31" s="459" t="str">
        <f>'Equitable Share'!D31</f>
        <v xml:space="preserve"> </v>
      </c>
      <c r="E31" s="459"/>
      <c r="F31" s="459"/>
      <c r="G31" s="459"/>
      <c r="H31" s="459"/>
      <c r="I31" s="719">
        <f>'Equitable Share'!I31</f>
        <v>0</v>
      </c>
      <c r="J31" s="719"/>
      <c r="K31" s="720" t="str">
        <f t="shared" si="0"/>
        <v xml:space="preserve"> </v>
      </c>
      <c r="L31" s="721"/>
      <c r="M31" s="722"/>
    </row>
    <row r="32" spans="1:13" x14ac:dyDescent="0.3">
      <c r="A32" s="711">
        <f>'Equitable Share'!$A32</f>
        <v>0</v>
      </c>
      <c r="B32" s="711"/>
      <c r="C32" s="711"/>
      <c r="D32" s="460" t="str">
        <f>'Equitable Share'!D32</f>
        <v xml:space="preserve"> </v>
      </c>
      <c r="E32" s="460"/>
      <c r="F32" s="460"/>
      <c r="G32" s="460"/>
      <c r="H32" s="460"/>
      <c r="I32" s="712">
        <f>'Equitable Share'!I32</f>
        <v>0</v>
      </c>
      <c r="J32" s="712"/>
      <c r="K32" s="713" t="str">
        <f t="shared" si="0"/>
        <v xml:space="preserve"> </v>
      </c>
      <c r="L32" s="714"/>
      <c r="M32" s="715"/>
    </row>
    <row r="33" spans="1:13" x14ac:dyDescent="0.3">
      <c r="A33" s="744">
        <f>'Equitable Share'!$A33</f>
        <v>0</v>
      </c>
      <c r="B33" s="744"/>
      <c r="C33" s="744"/>
      <c r="D33" s="459" t="str">
        <f>'Equitable Share'!D33</f>
        <v xml:space="preserve"> </v>
      </c>
      <c r="E33" s="459"/>
      <c r="F33" s="459"/>
      <c r="G33" s="459"/>
      <c r="H33" s="459"/>
      <c r="I33" s="719">
        <f>'Equitable Share'!I33</f>
        <v>0</v>
      </c>
      <c r="J33" s="719"/>
      <c r="K33" s="720" t="str">
        <f t="shared" si="0"/>
        <v xml:space="preserve"> </v>
      </c>
      <c r="L33" s="721"/>
      <c r="M33" s="722"/>
    </row>
    <row r="34" spans="1:13" x14ac:dyDescent="0.3">
      <c r="A34" s="711">
        <f>'Equitable Share'!$A34</f>
        <v>0</v>
      </c>
      <c r="B34" s="711"/>
      <c r="C34" s="711"/>
      <c r="D34" s="460" t="str">
        <f>'Equitable Share'!D34</f>
        <v xml:space="preserve"> </v>
      </c>
      <c r="E34" s="460"/>
      <c r="F34" s="460"/>
      <c r="G34" s="460"/>
      <c r="H34" s="460"/>
      <c r="I34" s="712">
        <f>'Equitable Share'!I34</f>
        <v>0</v>
      </c>
      <c r="J34" s="712"/>
      <c r="K34" s="713" t="str">
        <f t="shared" si="0"/>
        <v xml:space="preserve"> </v>
      </c>
      <c r="L34" s="714"/>
      <c r="M34" s="715"/>
    </row>
    <row r="35" spans="1:13" x14ac:dyDescent="0.3">
      <c r="A35" s="744">
        <f>'Equitable Share'!$A35</f>
        <v>0</v>
      </c>
      <c r="B35" s="744"/>
      <c r="C35" s="744"/>
      <c r="D35" s="459" t="str">
        <f>'Equitable Share'!D35</f>
        <v xml:space="preserve"> </v>
      </c>
      <c r="E35" s="459"/>
      <c r="F35" s="459"/>
      <c r="G35" s="459"/>
      <c r="H35" s="459"/>
      <c r="I35" s="719">
        <f>'Equitable Share'!I35</f>
        <v>0</v>
      </c>
      <c r="J35" s="719"/>
      <c r="K35" s="720" t="str">
        <f t="shared" si="0"/>
        <v xml:space="preserve"> </v>
      </c>
      <c r="L35" s="721"/>
      <c r="M35" s="722"/>
    </row>
    <row r="36" spans="1:13" x14ac:dyDescent="0.3">
      <c r="A36" s="711">
        <f>'Equitable Share'!$A36</f>
        <v>0</v>
      </c>
      <c r="B36" s="711"/>
      <c r="C36" s="711"/>
      <c r="D36" s="460" t="str">
        <f>'Equitable Share'!D36</f>
        <v xml:space="preserve"> </v>
      </c>
      <c r="E36" s="460"/>
      <c r="F36" s="460"/>
      <c r="G36" s="460"/>
      <c r="H36" s="460"/>
      <c r="I36" s="712">
        <f>'Equitable Share'!I36</f>
        <v>0</v>
      </c>
      <c r="J36" s="712"/>
      <c r="K36" s="713" t="str">
        <f t="shared" si="0"/>
        <v xml:space="preserve"> </v>
      </c>
      <c r="L36" s="714"/>
      <c r="M36" s="715"/>
    </row>
    <row r="37" spans="1:13" x14ac:dyDescent="0.3">
      <c r="A37" s="744">
        <f>'Equitable Share'!$A37</f>
        <v>0</v>
      </c>
      <c r="B37" s="744"/>
      <c r="C37" s="744"/>
      <c r="D37" s="459" t="str">
        <f>'Equitable Share'!D37</f>
        <v xml:space="preserve"> </v>
      </c>
      <c r="E37" s="459"/>
      <c r="F37" s="459"/>
      <c r="G37" s="459"/>
      <c r="H37" s="459"/>
      <c r="I37" s="719">
        <f>'Equitable Share'!I37</f>
        <v>0</v>
      </c>
      <c r="J37" s="719"/>
      <c r="K37" s="720" t="str">
        <f t="shared" si="0"/>
        <v xml:space="preserve"> </v>
      </c>
      <c r="L37" s="721"/>
      <c r="M37" s="722"/>
    </row>
    <row r="38" spans="1:13" x14ac:dyDescent="0.3">
      <c r="A38" s="711">
        <f>'Equitable Share'!$A38</f>
        <v>0</v>
      </c>
      <c r="B38" s="711"/>
      <c r="C38" s="711"/>
      <c r="D38" s="460" t="str">
        <f>'Equitable Share'!D38</f>
        <v xml:space="preserve"> </v>
      </c>
      <c r="E38" s="460"/>
      <c r="F38" s="460"/>
      <c r="G38" s="460"/>
      <c r="H38" s="460"/>
      <c r="I38" s="712">
        <f>'Equitable Share'!I38</f>
        <v>0</v>
      </c>
      <c r="J38" s="712"/>
      <c r="K38" s="713" t="str">
        <f t="shared" si="0"/>
        <v xml:space="preserve"> </v>
      </c>
      <c r="L38" s="714"/>
      <c r="M38" s="715"/>
    </row>
    <row r="39" spans="1:13" x14ac:dyDescent="0.3">
      <c r="A39" s="744">
        <f>'Equitable Share'!$A39</f>
        <v>0</v>
      </c>
      <c r="B39" s="744"/>
      <c r="C39" s="744"/>
      <c r="D39" s="459" t="str">
        <f>'Equitable Share'!D39</f>
        <v xml:space="preserve"> </v>
      </c>
      <c r="E39" s="459"/>
      <c r="F39" s="459"/>
      <c r="G39" s="459"/>
      <c r="H39" s="459"/>
      <c r="I39" s="719">
        <f>'Equitable Share'!I39</f>
        <v>0</v>
      </c>
      <c r="J39" s="719"/>
      <c r="K39" s="720" t="str">
        <f t="shared" si="0"/>
        <v xml:space="preserve"> </v>
      </c>
      <c r="L39" s="721"/>
      <c r="M39" s="722"/>
    </row>
    <row r="40" spans="1:13" x14ac:dyDescent="0.3">
      <c r="A40" s="711">
        <f>'Equitable Share'!$A40</f>
        <v>0</v>
      </c>
      <c r="B40" s="711"/>
      <c r="C40" s="711"/>
      <c r="D40" s="460" t="str">
        <f>'Equitable Share'!D40</f>
        <v xml:space="preserve"> </v>
      </c>
      <c r="E40" s="460"/>
      <c r="F40" s="460"/>
      <c r="G40" s="460"/>
      <c r="H40" s="460"/>
      <c r="I40" s="712">
        <f>'Equitable Share'!I40</f>
        <v>0</v>
      </c>
      <c r="J40" s="712"/>
      <c r="K40" s="713" t="str">
        <f t="shared" si="0"/>
        <v xml:space="preserve"> </v>
      </c>
      <c r="L40" s="714"/>
      <c r="M40" s="715"/>
    </row>
    <row r="41" spans="1:13" x14ac:dyDescent="0.3">
      <c r="A41" s="744">
        <f>'Equitable Share'!$A41</f>
        <v>0</v>
      </c>
      <c r="B41" s="744"/>
      <c r="C41" s="744"/>
      <c r="D41" s="459" t="str">
        <f>'Equitable Share'!D41</f>
        <v xml:space="preserve"> </v>
      </c>
      <c r="E41" s="459"/>
      <c r="F41" s="459"/>
      <c r="G41" s="459"/>
      <c r="H41" s="459"/>
      <c r="I41" s="719">
        <f>'Equitable Share'!I41</f>
        <v>0</v>
      </c>
      <c r="J41" s="719"/>
      <c r="K41" s="720" t="str">
        <f t="shared" si="0"/>
        <v xml:space="preserve"> </v>
      </c>
      <c r="L41" s="721"/>
      <c r="M41" s="722"/>
    </row>
    <row r="42" spans="1:13" x14ac:dyDescent="0.3">
      <c r="A42" s="711">
        <f>'Equitable Share'!$A42</f>
        <v>0</v>
      </c>
      <c r="B42" s="711"/>
      <c r="C42" s="711"/>
      <c r="D42" s="460" t="str">
        <f>'Equitable Share'!D42</f>
        <v xml:space="preserve"> </v>
      </c>
      <c r="E42" s="460"/>
      <c r="F42" s="460"/>
      <c r="G42" s="460"/>
      <c r="H42" s="460"/>
      <c r="I42" s="712">
        <f>'Equitable Share'!I42</f>
        <v>0</v>
      </c>
      <c r="J42" s="712"/>
      <c r="K42" s="713" t="str">
        <f t="shared" si="0"/>
        <v xml:space="preserve"> </v>
      </c>
      <c r="L42" s="714"/>
      <c r="M42" s="715"/>
    </row>
    <row r="43" spans="1:13" x14ac:dyDescent="0.3">
      <c r="A43" s="744">
        <f>'Equitable Share'!$A43</f>
        <v>0</v>
      </c>
      <c r="B43" s="744"/>
      <c r="C43" s="744"/>
      <c r="D43" s="459" t="str">
        <f>'Equitable Share'!D43</f>
        <v xml:space="preserve"> </v>
      </c>
      <c r="E43" s="459"/>
      <c r="F43" s="459"/>
      <c r="G43" s="459"/>
      <c r="H43" s="459"/>
      <c r="I43" s="719">
        <f>'Equitable Share'!I43</f>
        <v>0</v>
      </c>
      <c r="J43" s="719"/>
      <c r="K43" s="720" t="str">
        <f t="shared" si="0"/>
        <v xml:space="preserve"> </v>
      </c>
      <c r="L43" s="721"/>
      <c r="M43" s="722"/>
    </row>
    <row r="44" spans="1:13" x14ac:dyDescent="0.3">
      <c r="A44" s="711">
        <f>'Equitable Share'!$A44</f>
        <v>0</v>
      </c>
      <c r="B44" s="711"/>
      <c r="C44" s="711"/>
      <c r="D44" s="460" t="str">
        <f>'Equitable Share'!D44</f>
        <v xml:space="preserve"> </v>
      </c>
      <c r="E44" s="460"/>
      <c r="F44" s="460"/>
      <c r="G44" s="460"/>
      <c r="H44" s="460"/>
      <c r="I44" s="712">
        <f>'Equitable Share'!I44</f>
        <v>0</v>
      </c>
      <c r="J44" s="712"/>
      <c r="K44" s="713" t="str">
        <f t="shared" si="0"/>
        <v xml:space="preserve"> </v>
      </c>
      <c r="L44" s="714"/>
      <c r="M44" s="715"/>
    </row>
    <row r="45" spans="1:13" x14ac:dyDescent="0.3">
      <c r="A45" s="744">
        <f>'Equitable Share'!$A45</f>
        <v>0</v>
      </c>
      <c r="B45" s="744"/>
      <c r="C45" s="744"/>
      <c r="D45" s="459" t="str">
        <f>'Equitable Share'!D45</f>
        <v xml:space="preserve"> </v>
      </c>
      <c r="E45" s="459"/>
      <c r="F45" s="459"/>
      <c r="G45" s="459"/>
      <c r="H45" s="459"/>
      <c r="I45" s="719">
        <f>'Equitable Share'!I45</f>
        <v>0</v>
      </c>
      <c r="J45" s="719"/>
      <c r="K45" s="720" t="str">
        <f t="shared" si="0"/>
        <v xml:space="preserve"> </v>
      </c>
      <c r="L45" s="721"/>
      <c r="M45" s="722"/>
    </row>
    <row r="46" spans="1:13" x14ac:dyDescent="0.3">
      <c r="A46" s="711">
        <f>'Equitable Share'!$A46</f>
        <v>0</v>
      </c>
      <c r="B46" s="711"/>
      <c r="C46" s="711"/>
      <c r="D46" s="460" t="str">
        <f>'Equitable Share'!D46</f>
        <v xml:space="preserve"> </v>
      </c>
      <c r="E46" s="460"/>
      <c r="F46" s="460"/>
      <c r="G46" s="460"/>
      <c r="H46" s="460"/>
      <c r="I46" s="712">
        <f>'Equitable Share'!I46</f>
        <v>0</v>
      </c>
      <c r="J46" s="712"/>
      <c r="K46" s="713" t="str">
        <f t="shared" si="0"/>
        <v xml:space="preserve"> </v>
      </c>
      <c r="L46" s="714"/>
      <c r="M46" s="715"/>
    </row>
    <row r="47" spans="1:13" x14ac:dyDescent="0.3">
      <c r="A47" s="744">
        <f>'Equitable Share'!$A47</f>
        <v>0</v>
      </c>
      <c r="B47" s="744"/>
      <c r="C47" s="744"/>
      <c r="D47" s="459" t="str">
        <f>'Equitable Share'!D47</f>
        <v xml:space="preserve"> </v>
      </c>
      <c r="E47" s="459"/>
      <c r="F47" s="459"/>
      <c r="G47" s="459"/>
      <c r="H47" s="459"/>
      <c r="I47" s="719">
        <f>'Equitable Share'!I47</f>
        <v>0</v>
      </c>
      <c r="J47" s="719"/>
      <c r="K47" s="720" t="str">
        <f t="shared" si="0"/>
        <v xml:space="preserve"> </v>
      </c>
      <c r="L47" s="721"/>
      <c r="M47" s="722"/>
    </row>
    <row r="48" spans="1:13" x14ac:dyDescent="0.3">
      <c r="A48" s="711">
        <f>'Equitable Share'!$A48</f>
        <v>0</v>
      </c>
      <c r="B48" s="711"/>
      <c r="C48" s="711"/>
      <c r="D48" s="460" t="str">
        <f>'Equitable Share'!D48</f>
        <v xml:space="preserve"> </v>
      </c>
      <c r="E48" s="460"/>
      <c r="F48" s="460"/>
      <c r="G48" s="460"/>
      <c r="H48" s="460"/>
      <c r="I48" s="712">
        <f>'Equitable Share'!I48</f>
        <v>0</v>
      </c>
      <c r="J48" s="712"/>
      <c r="K48" s="713" t="str">
        <f t="shared" si="0"/>
        <v xml:space="preserve"> </v>
      </c>
      <c r="L48" s="714"/>
      <c r="M48" s="715"/>
    </row>
    <row r="49" spans="1:15" x14ac:dyDescent="0.3">
      <c r="A49" s="744">
        <f>'Equitable Share'!$A49</f>
        <v>0</v>
      </c>
      <c r="B49" s="744"/>
      <c r="C49" s="744"/>
      <c r="D49" s="459" t="str">
        <f>'Equitable Share'!D49</f>
        <v xml:space="preserve"> </v>
      </c>
      <c r="E49" s="459"/>
      <c r="F49" s="459"/>
      <c r="G49" s="459"/>
      <c r="H49" s="459"/>
      <c r="I49" s="719">
        <f>'Equitable Share'!I49</f>
        <v>0</v>
      </c>
      <c r="J49" s="719"/>
      <c r="K49" s="720" t="str">
        <f t="shared" si="0"/>
        <v xml:space="preserve"> </v>
      </c>
      <c r="L49" s="721"/>
      <c r="M49" s="722"/>
    </row>
    <row r="50" spans="1:15" x14ac:dyDescent="0.3">
      <c r="A50" s="711">
        <f>'Equitable Share'!$A50</f>
        <v>0</v>
      </c>
      <c r="B50" s="711"/>
      <c r="C50" s="711"/>
      <c r="D50" s="460" t="str">
        <f>'Equitable Share'!D50</f>
        <v xml:space="preserve"> </v>
      </c>
      <c r="E50" s="460"/>
      <c r="F50" s="460"/>
      <c r="G50" s="460"/>
      <c r="H50" s="460"/>
      <c r="I50" s="712">
        <f>'Equitable Share'!I50</f>
        <v>0</v>
      </c>
      <c r="J50" s="712"/>
      <c r="K50" s="713" t="str">
        <f t="shared" si="0"/>
        <v xml:space="preserve"> </v>
      </c>
      <c r="L50" s="714"/>
      <c r="M50" s="715"/>
    </row>
    <row r="51" spans="1:15" x14ac:dyDescent="0.3">
      <c r="A51" s="744">
        <f>'Equitable Share'!$A51</f>
        <v>0</v>
      </c>
      <c r="B51" s="744"/>
      <c r="C51" s="744"/>
      <c r="D51" s="459" t="str">
        <f>'Equitable Share'!D51</f>
        <v xml:space="preserve"> </v>
      </c>
      <c r="E51" s="459"/>
      <c r="F51" s="459"/>
      <c r="G51" s="459"/>
      <c r="H51" s="459"/>
      <c r="I51" s="719">
        <f>'Equitable Share'!I51</f>
        <v>0</v>
      </c>
      <c r="J51" s="719"/>
      <c r="K51" s="720" t="str">
        <f t="shared" si="0"/>
        <v xml:space="preserve"> </v>
      </c>
      <c r="L51" s="721"/>
      <c r="M51" s="722"/>
    </row>
    <row r="52" spans="1:15" x14ac:dyDescent="0.3">
      <c r="A52" s="711">
        <f>'Equitable Share'!$A52</f>
        <v>0</v>
      </c>
      <c r="B52" s="711"/>
      <c r="C52" s="711"/>
      <c r="D52" s="460" t="str">
        <f>'Equitable Share'!D52</f>
        <v xml:space="preserve"> </v>
      </c>
      <c r="E52" s="460"/>
      <c r="F52" s="460"/>
      <c r="G52" s="460"/>
      <c r="H52" s="460"/>
      <c r="I52" s="712">
        <f>'Equitable Share'!I52</f>
        <v>0</v>
      </c>
      <c r="J52" s="712"/>
      <c r="K52" s="713" t="str">
        <f t="shared" si="0"/>
        <v xml:space="preserve"> </v>
      </c>
      <c r="L52" s="714"/>
      <c r="M52" s="715"/>
    </row>
    <row r="53" spans="1:15" x14ac:dyDescent="0.3">
      <c r="A53" s="744">
        <f>'Equitable Share'!$A53</f>
        <v>0</v>
      </c>
      <c r="B53" s="744"/>
      <c r="C53" s="744"/>
      <c r="D53" s="459" t="str">
        <f>'Equitable Share'!D53</f>
        <v xml:space="preserve"> </v>
      </c>
      <c r="E53" s="459"/>
      <c r="F53" s="459"/>
      <c r="G53" s="459"/>
      <c r="H53" s="459"/>
      <c r="I53" s="719">
        <f>'Equitable Share'!I53</f>
        <v>0</v>
      </c>
      <c r="J53" s="719"/>
      <c r="K53" s="720" t="str">
        <f t="shared" si="0"/>
        <v xml:space="preserve"> </v>
      </c>
      <c r="L53" s="721"/>
      <c r="M53" s="722"/>
    </row>
    <row r="54" spans="1:15" x14ac:dyDescent="0.3">
      <c r="A54" s="711">
        <f>'Equitable Share'!$A54</f>
        <v>0</v>
      </c>
      <c r="B54" s="711"/>
      <c r="C54" s="711"/>
      <c r="D54" s="460" t="str">
        <f>'Equitable Share'!D54</f>
        <v xml:space="preserve"> </v>
      </c>
      <c r="E54" s="460"/>
      <c r="F54" s="460"/>
      <c r="G54" s="460"/>
      <c r="H54" s="460"/>
      <c r="I54" s="712">
        <f>'Equitable Share'!I54</f>
        <v>0</v>
      </c>
      <c r="J54" s="712"/>
      <c r="K54" s="713" t="str">
        <f t="shared" si="0"/>
        <v xml:space="preserve"> </v>
      </c>
      <c r="L54" s="714"/>
      <c r="M54" s="715"/>
    </row>
    <row r="55" spans="1:15" x14ac:dyDescent="0.3">
      <c r="A55" s="744">
        <f>'Equitable Share'!$A55</f>
        <v>0</v>
      </c>
      <c r="B55" s="744"/>
      <c r="C55" s="744"/>
      <c r="D55" s="459" t="str">
        <f>'Equitable Share'!D55</f>
        <v xml:space="preserve"> </v>
      </c>
      <c r="E55" s="459"/>
      <c r="F55" s="459"/>
      <c r="G55" s="459"/>
      <c r="H55" s="459"/>
      <c r="I55" s="719">
        <f>'Equitable Share'!I55</f>
        <v>0</v>
      </c>
      <c r="J55" s="719"/>
      <c r="K55" s="720" t="str">
        <f t="shared" si="0"/>
        <v xml:space="preserve"> </v>
      </c>
      <c r="L55" s="721"/>
      <c r="M55" s="722"/>
    </row>
    <row r="56" spans="1:15" x14ac:dyDescent="0.3">
      <c r="A56" s="710"/>
      <c r="B56" s="710"/>
      <c r="C56" s="710"/>
      <c r="D56" s="710"/>
      <c r="E56" s="710"/>
      <c r="F56" s="710"/>
      <c r="G56" s="710"/>
      <c r="H56" s="710"/>
      <c r="I56" s="459">
        <f>SUM(I12:J55)</f>
        <v>0</v>
      </c>
      <c r="J56" s="459"/>
      <c r="K56" s="709" t="str">
        <f t="shared" si="0"/>
        <v xml:space="preserve"> </v>
      </c>
      <c r="L56" s="709"/>
      <c r="M56" s="709"/>
      <c r="O56" s="61"/>
    </row>
    <row r="57" spans="1:15" x14ac:dyDescent="0.3">
      <c r="A57" s="60"/>
      <c r="B57" s="30"/>
      <c r="C57" s="30"/>
      <c r="D57" s="30"/>
      <c r="E57" s="30"/>
      <c r="F57" s="30"/>
      <c r="G57" s="30"/>
      <c r="H57" s="30"/>
      <c r="I57" s="475" t="s">
        <v>108</v>
      </c>
      <c r="J57" s="475"/>
      <c r="K57" s="475" t="s">
        <v>109</v>
      </c>
      <c r="L57" s="475"/>
      <c r="M57" s="476"/>
    </row>
    <row r="58" spans="1:15" ht="15" thickBot="1" x14ac:dyDescent="0.35">
      <c r="A58" s="62"/>
      <c r="B58" s="63"/>
      <c r="C58" s="63"/>
      <c r="D58" s="63"/>
      <c r="E58" s="63"/>
      <c r="F58" s="63"/>
      <c r="G58" s="63"/>
      <c r="H58" s="63"/>
      <c r="I58" s="63"/>
      <c r="J58" s="63"/>
      <c r="K58" s="63"/>
      <c r="L58" s="63"/>
      <c r="M58" s="64"/>
    </row>
  </sheetData>
  <sheetProtection algorithmName="SHA-512" hashValue="r1gK0MMAr/OFZXsgaLIB3aeKLLpDw/bNeo7KCzcBuXsI3ZzilBNEdFNwnEG4HdueLcDPmGnLDczjtoAyHQpWyQ==" saltValue="zI9vCy9S4lerh96aNLLJ/g==" spinCount="100000" sheet="1" objects="1" scenarios="1" selectLockedCells="1"/>
  <mergeCells count="199">
    <mergeCell ref="A1:M1"/>
    <mergeCell ref="A2:M2"/>
    <mergeCell ref="C4:D4"/>
    <mergeCell ref="F4:H4"/>
    <mergeCell ref="J4:L4"/>
    <mergeCell ref="C5:D5"/>
    <mergeCell ref="F5:I5"/>
    <mergeCell ref="J5:L5"/>
    <mergeCell ref="A12:C12"/>
    <mergeCell ref="D12:H12"/>
    <mergeCell ref="I12:J12"/>
    <mergeCell ref="K12:M12"/>
    <mergeCell ref="A13:C13"/>
    <mergeCell ref="D13:H13"/>
    <mergeCell ref="I13:J13"/>
    <mergeCell ref="K13:M13"/>
    <mergeCell ref="C7:D7"/>
    <mergeCell ref="F7:H7"/>
    <mergeCell ref="J7:L7"/>
    <mergeCell ref="C8:D8"/>
    <mergeCell ref="J8:L8"/>
    <mergeCell ref="A11:C11"/>
    <mergeCell ref="D11:H11"/>
    <mergeCell ref="I11:J11"/>
    <mergeCell ref="K11:M11"/>
    <mergeCell ref="A16:C16"/>
    <mergeCell ref="D16:H16"/>
    <mergeCell ref="I16:J16"/>
    <mergeCell ref="K16:M16"/>
    <mergeCell ref="A17:C17"/>
    <mergeCell ref="D17:H17"/>
    <mergeCell ref="I17:J17"/>
    <mergeCell ref="K17:M17"/>
    <mergeCell ref="A14:C14"/>
    <mergeCell ref="D14:H14"/>
    <mergeCell ref="I14:J14"/>
    <mergeCell ref="K14:M14"/>
    <mergeCell ref="A15:C15"/>
    <mergeCell ref="D15:H15"/>
    <mergeCell ref="I15:J15"/>
    <mergeCell ref="K15:M15"/>
    <mergeCell ref="A20:C20"/>
    <mergeCell ref="D20:H20"/>
    <mergeCell ref="I20:J20"/>
    <mergeCell ref="K20:M20"/>
    <mergeCell ref="A21:C21"/>
    <mergeCell ref="D21:H21"/>
    <mergeCell ref="I21:J21"/>
    <mergeCell ref="K21:M21"/>
    <mergeCell ref="A18:C18"/>
    <mergeCell ref="D18:H18"/>
    <mergeCell ref="I18:J18"/>
    <mergeCell ref="K18:M18"/>
    <mergeCell ref="A19:C19"/>
    <mergeCell ref="D19:H19"/>
    <mergeCell ref="I19:J19"/>
    <mergeCell ref="K19:M19"/>
    <mergeCell ref="A24:C24"/>
    <mergeCell ref="D24:H24"/>
    <mergeCell ref="I24:J24"/>
    <mergeCell ref="K24:M24"/>
    <mergeCell ref="A25:C25"/>
    <mergeCell ref="D25:H25"/>
    <mergeCell ref="I25:J25"/>
    <mergeCell ref="K25:M25"/>
    <mergeCell ref="A22:C22"/>
    <mergeCell ref="D22:H22"/>
    <mergeCell ref="I22:J22"/>
    <mergeCell ref="K22:M22"/>
    <mergeCell ref="A23:C23"/>
    <mergeCell ref="D23:H23"/>
    <mergeCell ref="I23:J23"/>
    <mergeCell ref="K23:M23"/>
    <mergeCell ref="A28:C28"/>
    <mergeCell ref="D28:H28"/>
    <mergeCell ref="I28:J28"/>
    <mergeCell ref="K28:M28"/>
    <mergeCell ref="A29:C29"/>
    <mergeCell ref="D29:H29"/>
    <mergeCell ref="I29:J29"/>
    <mergeCell ref="K29:M29"/>
    <mergeCell ref="A26:C26"/>
    <mergeCell ref="D26:H26"/>
    <mergeCell ref="I26:J26"/>
    <mergeCell ref="K26:M26"/>
    <mergeCell ref="A27:C27"/>
    <mergeCell ref="D27:H27"/>
    <mergeCell ref="I27:J27"/>
    <mergeCell ref="K27:M27"/>
    <mergeCell ref="A32:C32"/>
    <mergeCell ref="D32:H32"/>
    <mergeCell ref="I32:J32"/>
    <mergeCell ref="K32:M32"/>
    <mergeCell ref="A33:C33"/>
    <mergeCell ref="D33:H33"/>
    <mergeCell ref="I33:J33"/>
    <mergeCell ref="K33:M33"/>
    <mergeCell ref="A30:C30"/>
    <mergeCell ref="D30:H30"/>
    <mergeCell ref="I30:J30"/>
    <mergeCell ref="K30:M30"/>
    <mergeCell ref="A31:C31"/>
    <mergeCell ref="D31:H31"/>
    <mergeCell ref="I31:J31"/>
    <mergeCell ref="K31:M31"/>
    <mergeCell ref="A36:C36"/>
    <mergeCell ref="D36:H36"/>
    <mergeCell ref="I36:J36"/>
    <mergeCell ref="K36:M36"/>
    <mergeCell ref="A37:C37"/>
    <mergeCell ref="D37:H37"/>
    <mergeCell ref="I37:J37"/>
    <mergeCell ref="K37:M37"/>
    <mergeCell ref="A34:C34"/>
    <mergeCell ref="D34:H34"/>
    <mergeCell ref="I34:J34"/>
    <mergeCell ref="K34:M34"/>
    <mergeCell ref="A35:C35"/>
    <mergeCell ref="D35:H35"/>
    <mergeCell ref="I35:J35"/>
    <mergeCell ref="K35:M35"/>
    <mergeCell ref="A40:C40"/>
    <mergeCell ref="D40:H40"/>
    <mergeCell ref="I40:J40"/>
    <mergeCell ref="K40:M40"/>
    <mergeCell ref="A41:C41"/>
    <mergeCell ref="D41:H41"/>
    <mergeCell ref="I41:J41"/>
    <mergeCell ref="K41:M41"/>
    <mergeCell ref="A38:C38"/>
    <mergeCell ref="D38:H38"/>
    <mergeCell ref="I38:J38"/>
    <mergeCell ref="K38:M38"/>
    <mergeCell ref="A39:C39"/>
    <mergeCell ref="D39:H39"/>
    <mergeCell ref="I39:J39"/>
    <mergeCell ref="K39:M39"/>
    <mergeCell ref="A44:C44"/>
    <mergeCell ref="D44:H44"/>
    <mergeCell ref="I44:J44"/>
    <mergeCell ref="K44:M44"/>
    <mergeCell ref="A45:C45"/>
    <mergeCell ref="D45:H45"/>
    <mergeCell ref="I45:J45"/>
    <mergeCell ref="K45:M45"/>
    <mergeCell ref="A42:C42"/>
    <mergeCell ref="D42:H42"/>
    <mergeCell ref="I42:J42"/>
    <mergeCell ref="K42:M42"/>
    <mergeCell ref="A43:C43"/>
    <mergeCell ref="D43:H43"/>
    <mergeCell ref="I43:J43"/>
    <mergeCell ref="K43:M43"/>
    <mergeCell ref="A48:C48"/>
    <mergeCell ref="D48:H48"/>
    <mergeCell ref="I48:J48"/>
    <mergeCell ref="K48:M48"/>
    <mergeCell ref="A49:C49"/>
    <mergeCell ref="D49:H49"/>
    <mergeCell ref="I49:J49"/>
    <mergeCell ref="K49:M49"/>
    <mergeCell ref="A46:C46"/>
    <mergeCell ref="D46:H46"/>
    <mergeCell ref="I46:J46"/>
    <mergeCell ref="K46:M46"/>
    <mergeCell ref="A47:C47"/>
    <mergeCell ref="D47:H47"/>
    <mergeCell ref="I47:J47"/>
    <mergeCell ref="K47:M47"/>
    <mergeCell ref="A52:C52"/>
    <mergeCell ref="D52:H52"/>
    <mergeCell ref="I52:J52"/>
    <mergeCell ref="K52:M52"/>
    <mergeCell ref="A53:C53"/>
    <mergeCell ref="D53:H53"/>
    <mergeCell ref="I53:J53"/>
    <mergeCell ref="K53:M53"/>
    <mergeCell ref="A50:C50"/>
    <mergeCell ref="D50:H50"/>
    <mergeCell ref="I50:J50"/>
    <mergeCell ref="K50:M50"/>
    <mergeCell ref="A51:C51"/>
    <mergeCell ref="D51:H51"/>
    <mergeCell ref="I51:J51"/>
    <mergeCell ref="K51:M51"/>
    <mergeCell ref="A56:C56"/>
    <mergeCell ref="D56:H56"/>
    <mergeCell ref="I56:J56"/>
    <mergeCell ref="K56:M56"/>
    <mergeCell ref="I57:J57"/>
    <mergeCell ref="K57:M57"/>
    <mergeCell ref="A54:C54"/>
    <mergeCell ref="D54:H54"/>
    <mergeCell ref="I54:J54"/>
    <mergeCell ref="K54:M54"/>
    <mergeCell ref="A55:C55"/>
    <mergeCell ref="D55:H55"/>
    <mergeCell ref="I55:J55"/>
    <mergeCell ref="K55:M55"/>
  </mergeCell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83762-F933-4754-A141-D78E8BF14DD8}">
  <sheetPr codeName="Sheet30">
    <tabColor theme="5" tint="0.39997558519241921"/>
  </sheetPr>
  <dimension ref="A1:L114"/>
  <sheetViews>
    <sheetView showGridLines="0" zoomScaleNormal="100" workbookViewId="0">
      <selection activeCell="C4" sqref="C4:D4"/>
    </sheetView>
  </sheetViews>
  <sheetFormatPr defaultColWidth="8.88671875" defaultRowHeight="14.4" x14ac:dyDescent="0.3"/>
  <cols>
    <col min="1" max="1" width="42.6640625" style="14" customWidth="1"/>
    <col min="2" max="2" width="52.6640625" style="14" customWidth="1"/>
    <col min="3" max="3" width="29.5546875" style="14" customWidth="1"/>
    <col min="4" max="4" width="16.44140625" style="14" customWidth="1"/>
    <col min="5" max="6" width="1.88671875" style="14" customWidth="1"/>
    <col min="7" max="7" width="46.5546875" style="14" customWidth="1"/>
    <col min="8" max="8" width="15.21875" style="14" customWidth="1"/>
    <col min="9" max="16384" width="8.88671875" style="14"/>
  </cols>
  <sheetData>
    <row r="1" spans="1:12" ht="43.2" customHeight="1" x14ac:dyDescent="0.3">
      <c r="A1" s="787" t="s">
        <v>2015</v>
      </c>
      <c r="B1" s="788"/>
      <c r="C1" s="788"/>
      <c r="D1" s="788"/>
      <c r="E1" s="788"/>
      <c r="F1" s="788"/>
      <c r="G1" s="788"/>
      <c r="H1" s="789"/>
    </row>
    <row r="2" spans="1:12" ht="14.4" customHeight="1" x14ac:dyDescent="0.3">
      <c r="A2" s="544" t="s">
        <v>2028</v>
      </c>
      <c r="B2" s="544"/>
      <c r="C2" s="544"/>
      <c r="D2" s="544"/>
      <c r="E2" s="544"/>
      <c r="F2" s="544"/>
      <c r="G2" s="544"/>
      <c r="H2" s="544"/>
    </row>
    <row r="3" spans="1:12" s="41" customFormat="1" ht="26.4" customHeight="1" thickBot="1" x14ac:dyDescent="0.35">
      <c r="A3" s="545"/>
      <c r="B3" s="545"/>
      <c r="C3" s="545"/>
      <c r="D3" s="545"/>
      <c r="E3" s="545"/>
      <c r="F3" s="545"/>
      <c r="G3" s="545"/>
      <c r="H3" s="545"/>
    </row>
    <row r="4" spans="1:12" s="41" customFormat="1" ht="14.4" customHeight="1" thickBot="1" x14ac:dyDescent="0.4">
      <c r="A4" s="69" t="s">
        <v>1968</v>
      </c>
      <c r="B4" s="69" t="s">
        <v>32</v>
      </c>
      <c r="C4" s="224" t="s">
        <v>33</v>
      </c>
      <c r="D4" s="69" t="s">
        <v>34</v>
      </c>
      <c r="E4" s="45"/>
      <c r="F4" s="45"/>
      <c r="G4" s="45"/>
      <c r="H4" s="45"/>
      <c r="I4" s="45"/>
      <c r="J4" s="45"/>
      <c r="K4" s="45"/>
      <c r="L4" s="45"/>
    </row>
    <row r="5" spans="1:12" ht="14.4" customHeight="1" x14ac:dyDescent="0.35">
      <c r="A5" s="70" t="s">
        <v>2025</v>
      </c>
      <c r="B5" s="70" t="s">
        <v>1998</v>
      </c>
      <c r="C5" s="70" t="s">
        <v>407</v>
      </c>
      <c r="D5" s="71" t="s">
        <v>76</v>
      </c>
      <c r="G5" s="6" t="s">
        <v>66</v>
      </c>
      <c r="H5" s="7" t="s">
        <v>34</v>
      </c>
    </row>
    <row r="6" spans="1:12" ht="14.4" customHeight="1" x14ac:dyDescent="0.3">
      <c r="A6" s="4"/>
      <c r="B6" s="133"/>
      <c r="C6" s="4"/>
      <c r="D6" s="5"/>
      <c r="G6" s="8" t="s">
        <v>81</v>
      </c>
      <c r="H6" s="9">
        <f>SUMIF($C$6:$C$111,"Instruction: Salary (Cert./Non Cert.)", $D$6:$D$111)</f>
        <v>0</v>
      </c>
    </row>
    <row r="7" spans="1:12" ht="14.4" customHeight="1" x14ac:dyDescent="0.3">
      <c r="A7" s="4"/>
      <c r="B7" s="133"/>
      <c r="C7" s="4"/>
      <c r="D7" s="5"/>
      <c r="G7" s="8" t="s">
        <v>82</v>
      </c>
      <c r="H7" s="9">
        <f>SUMIF($C$6:$C$111,"Instruction: Benefits (Cert./Non Cert.)", $D$6:$D$111)</f>
        <v>0</v>
      </c>
    </row>
    <row r="8" spans="1:12" ht="14.4" customHeight="1" x14ac:dyDescent="0.3">
      <c r="A8" s="4"/>
      <c r="B8" s="133"/>
      <c r="C8" s="4"/>
      <c r="D8" s="5"/>
      <c r="G8" s="10" t="s">
        <v>35</v>
      </c>
      <c r="H8" s="9">
        <f>SUMIF($C$6:$C$111,"Instruction: Professional Services", $D$6:$D$111)</f>
        <v>0</v>
      </c>
    </row>
    <row r="9" spans="1:12" ht="14.4" customHeight="1" x14ac:dyDescent="0.3">
      <c r="A9" s="4"/>
      <c r="B9" s="133"/>
      <c r="C9" s="4"/>
      <c r="D9" s="5"/>
      <c r="G9" s="10" t="s">
        <v>36</v>
      </c>
      <c r="H9" s="9">
        <f>SUMIF($C$6:$C$111,"Instruction: Rentals", $D$6:$D$111)</f>
        <v>0</v>
      </c>
    </row>
    <row r="10" spans="1:12" ht="14.4" customHeight="1" x14ac:dyDescent="0.3">
      <c r="A10" s="4"/>
      <c r="B10" s="133"/>
      <c r="C10" s="4"/>
      <c r="D10" s="5"/>
      <c r="G10" s="10" t="s">
        <v>37</v>
      </c>
      <c r="H10" s="9">
        <f>SUMIF($C$6:$C$111,"Instruction: Other Purchased Services", $D$6:$D$111)</f>
        <v>0</v>
      </c>
    </row>
    <row r="11" spans="1:12" ht="14.4" customHeight="1" x14ac:dyDescent="0.3">
      <c r="A11" s="4"/>
      <c r="B11" s="133"/>
      <c r="C11" s="4"/>
      <c r="D11" s="5"/>
      <c r="G11" s="10" t="s">
        <v>38</v>
      </c>
      <c r="H11" s="9">
        <f>SUMIF($C$6:$C$111,"Instruction: General Supplies", $D$6:$D$111)</f>
        <v>0</v>
      </c>
    </row>
    <row r="12" spans="1:12" ht="14.4" customHeight="1" x14ac:dyDescent="0.3">
      <c r="A12" s="4"/>
      <c r="B12" s="133"/>
      <c r="C12" s="4"/>
      <c r="D12" s="5"/>
      <c r="G12" s="10" t="s">
        <v>39</v>
      </c>
      <c r="H12" s="9">
        <f>SUMIF($C$6:$C$111,"Instruction: Property", $D$6:$D$111)</f>
        <v>0</v>
      </c>
    </row>
    <row r="13" spans="1:12" ht="14.4" customHeight="1" x14ac:dyDescent="0.3">
      <c r="A13" s="4"/>
      <c r="B13" s="133"/>
      <c r="C13" s="4"/>
      <c r="D13" s="5"/>
      <c r="G13" s="10"/>
      <c r="H13" s="9"/>
    </row>
    <row r="14" spans="1:12" ht="14.4" customHeight="1" x14ac:dyDescent="0.3">
      <c r="A14" s="4"/>
      <c r="B14" s="133"/>
      <c r="C14" s="4"/>
      <c r="D14" s="5"/>
      <c r="G14" s="8" t="s">
        <v>83</v>
      </c>
      <c r="H14" s="9">
        <f>SUMIF($C$6:$C$111,"Support Services (Student): Salary (Cert./Non Cert.)", $D$6:$D$111)</f>
        <v>0</v>
      </c>
    </row>
    <row r="15" spans="1:12" ht="14.4" customHeight="1" x14ac:dyDescent="0.3">
      <c r="A15" s="4"/>
      <c r="B15" s="133"/>
      <c r="C15" s="4"/>
      <c r="D15" s="5"/>
      <c r="G15" s="8" t="s">
        <v>84</v>
      </c>
      <c r="H15" s="9">
        <f>SUMIF($C$6:$C$111,"Support Services (Student): Benefits (Cert./Non Cert.)", $D$6:$D$111)</f>
        <v>0</v>
      </c>
    </row>
    <row r="16" spans="1:12" ht="14.4" customHeight="1" x14ac:dyDescent="0.3">
      <c r="A16" s="4"/>
      <c r="B16" s="133"/>
      <c r="C16" s="4"/>
      <c r="D16" s="5"/>
      <c r="G16" s="10" t="s">
        <v>40</v>
      </c>
      <c r="H16" s="9">
        <f>SUMIF($C$6:$C$111,"Support Services (Student): Professional Services", $D$6:$D$111)</f>
        <v>0</v>
      </c>
    </row>
    <row r="17" spans="1:8" ht="14.4" customHeight="1" x14ac:dyDescent="0.3">
      <c r="A17" s="4"/>
      <c r="B17" s="133"/>
      <c r="C17" s="4"/>
      <c r="D17" s="5"/>
      <c r="G17" s="10" t="s">
        <v>41</v>
      </c>
      <c r="H17" s="9">
        <f>SUMIF($C$6:$C$111,"Support Services (Student): Rentals", $D$6:$D$111)</f>
        <v>0</v>
      </c>
    </row>
    <row r="18" spans="1:8" ht="14.4" customHeight="1" x14ac:dyDescent="0.3">
      <c r="A18" s="4"/>
      <c r="B18" s="133"/>
      <c r="C18" s="4"/>
      <c r="D18" s="5"/>
      <c r="G18" s="10" t="s">
        <v>42</v>
      </c>
      <c r="H18" s="9">
        <f>SUMIF($C$6:$C$111,"Support Services (Student): Other Purchased Services", $D$6:$D$111)</f>
        <v>0</v>
      </c>
    </row>
    <row r="19" spans="1:8" ht="14.4" customHeight="1" x14ac:dyDescent="0.3">
      <c r="A19" s="4"/>
      <c r="B19" s="133"/>
      <c r="C19" s="4"/>
      <c r="D19" s="5"/>
      <c r="G19" s="10" t="s">
        <v>43</v>
      </c>
      <c r="H19" s="9">
        <f>SUMIF($C$6:$C$111,"Support Services (Student): General Supplies", $D$6:$D$111)</f>
        <v>0</v>
      </c>
    </row>
    <row r="20" spans="1:8" ht="14.4" customHeight="1" x14ac:dyDescent="0.3">
      <c r="A20" s="4"/>
      <c r="B20" s="133"/>
      <c r="C20" s="4"/>
      <c r="D20" s="5"/>
      <c r="G20" s="10" t="s">
        <v>44</v>
      </c>
      <c r="H20" s="9">
        <f>SUMIF($C$6:$C$111,"Support Services (Student): Property", $D$6:$D$111)</f>
        <v>0</v>
      </c>
    </row>
    <row r="21" spans="1:8" ht="14.4" customHeight="1" x14ac:dyDescent="0.3">
      <c r="A21" s="4"/>
      <c r="B21" s="133"/>
      <c r="C21" s="4"/>
      <c r="D21" s="5"/>
      <c r="G21" s="10"/>
      <c r="H21" s="9"/>
    </row>
    <row r="22" spans="1:8" ht="14.4" customHeight="1" x14ac:dyDescent="0.3">
      <c r="A22" s="4"/>
      <c r="B22" s="133"/>
      <c r="C22" s="4"/>
      <c r="D22" s="5"/>
      <c r="G22" s="8" t="s">
        <v>85</v>
      </c>
      <c r="H22" s="9">
        <f>SUMIF($C$6:$C$111,"Improvement of Instruction: Salary (Cert./Non Cert.)", $D$6:$D$111)</f>
        <v>0</v>
      </c>
    </row>
    <row r="23" spans="1:8" ht="14.4" customHeight="1" x14ac:dyDescent="0.3">
      <c r="A23" s="4"/>
      <c r="B23" s="133"/>
      <c r="C23" s="4"/>
      <c r="D23" s="5"/>
      <c r="G23" s="8" t="s">
        <v>86</v>
      </c>
      <c r="H23" s="9">
        <f>SUMIF($C$6:$C$111,"Improvement of Instruction: Benefits (Cert./Non Cert.)", $D$6:$D$111)</f>
        <v>0</v>
      </c>
    </row>
    <row r="24" spans="1:8" ht="14.4" customHeight="1" x14ac:dyDescent="0.3">
      <c r="A24" s="4"/>
      <c r="B24" s="133"/>
      <c r="C24" s="4"/>
      <c r="D24" s="5"/>
      <c r="G24" s="10" t="s">
        <v>45</v>
      </c>
      <c r="H24" s="9">
        <f>SUMIF($C$6:$C$111,"Improvement of Instruction: Professional Services", $D$6:$D$111)</f>
        <v>0</v>
      </c>
    </row>
    <row r="25" spans="1:8" ht="14.4" customHeight="1" x14ac:dyDescent="0.3">
      <c r="A25" s="4"/>
      <c r="B25" s="133"/>
      <c r="C25" s="4"/>
      <c r="D25" s="5"/>
      <c r="G25" s="10" t="s">
        <v>46</v>
      </c>
      <c r="H25" s="9">
        <f>SUMIF($C$6:$C$111,"Improvement of Instruction: Rentals", $D$6:$D$111)</f>
        <v>0</v>
      </c>
    </row>
    <row r="26" spans="1:8" ht="14.4" customHeight="1" x14ac:dyDescent="0.3">
      <c r="A26" s="4"/>
      <c r="B26" s="133"/>
      <c r="C26" s="4"/>
      <c r="D26" s="5"/>
      <c r="G26" s="10" t="s">
        <v>47</v>
      </c>
      <c r="H26" s="9">
        <f>SUMIF($C$6:$C$111,"Improvement of Instruction: Other Purchased Services", $D$6:$D$111)</f>
        <v>0</v>
      </c>
    </row>
    <row r="27" spans="1:8" ht="14.4" customHeight="1" x14ac:dyDescent="0.3">
      <c r="A27" s="4"/>
      <c r="B27" s="133"/>
      <c r="C27" s="4"/>
      <c r="D27" s="5"/>
      <c r="G27" s="10" t="s">
        <v>48</v>
      </c>
      <c r="H27" s="9">
        <f>SUMIF($C$6:$C$111,"Improvement of Instruction: General Supplies", $D$6:$D$111)</f>
        <v>0</v>
      </c>
    </row>
    <row r="28" spans="1:8" ht="14.4" customHeight="1" x14ac:dyDescent="0.3">
      <c r="A28" s="4"/>
      <c r="B28" s="133"/>
      <c r="C28" s="4"/>
      <c r="D28" s="5"/>
      <c r="G28" s="10" t="s">
        <v>49</v>
      </c>
      <c r="H28" s="9">
        <f>SUMIF($C$6:$C$111,"Improvement of Instruction: Property", $D$6:$D$111)</f>
        <v>0</v>
      </c>
    </row>
    <row r="29" spans="1:8" ht="14.4" customHeight="1" x14ac:dyDescent="0.3">
      <c r="A29" s="4"/>
      <c r="B29" s="133"/>
      <c r="C29" s="4"/>
      <c r="D29" s="5"/>
      <c r="G29" s="10"/>
      <c r="H29" s="9"/>
    </row>
    <row r="30" spans="1:8" ht="14.4" customHeight="1" x14ac:dyDescent="0.3">
      <c r="A30" s="4"/>
      <c r="B30" s="133"/>
      <c r="C30" s="4"/>
      <c r="D30" s="5"/>
      <c r="G30" s="8" t="s">
        <v>402</v>
      </c>
      <c r="H30" s="9">
        <f>SUMIF($C$6:$C$111,"Other Support Services-Admin: Salary (Cert./Non Cert.)", $D$6:$D$111)</f>
        <v>0</v>
      </c>
    </row>
    <row r="31" spans="1:8" ht="14.4" customHeight="1" x14ac:dyDescent="0.3">
      <c r="A31" s="4"/>
      <c r="B31" s="133"/>
      <c r="C31" s="4"/>
      <c r="D31" s="5"/>
      <c r="G31" s="8" t="s">
        <v>403</v>
      </c>
      <c r="H31" s="9">
        <f>SUMIF($C$6:$C$111,"Other Support Services-Admin: Benefits (Cert./Non Cert.)", $D$6:$D$111)</f>
        <v>0</v>
      </c>
    </row>
    <row r="32" spans="1:8" ht="14.4" customHeight="1" x14ac:dyDescent="0.3">
      <c r="A32" s="4"/>
      <c r="B32" s="133"/>
      <c r="C32" s="4"/>
      <c r="D32" s="5"/>
      <c r="G32" s="10" t="s">
        <v>404</v>
      </c>
      <c r="H32" s="9">
        <f>SUMIF($C$6:$C$111,"Other Support Services-Admin: Professional Services", $D$6:$D$111)</f>
        <v>0</v>
      </c>
    </row>
    <row r="33" spans="1:8" ht="14.4" customHeight="1" x14ac:dyDescent="0.3">
      <c r="A33" s="4"/>
      <c r="B33" s="133"/>
      <c r="C33" s="4"/>
      <c r="D33" s="5"/>
      <c r="G33" s="10" t="s">
        <v>405</v>
      </c>
      <c r="H33" s="9">
        <f>SUMIF($C$6:$C$111,"Other Support Services-Admin: Rentals", $D$6:$D$111)</f>
        <v>0</v>
      </c>
    </row>
    <row r="34" spans="1:8" ht="14.4" customHeight="1" x14ac:dyDescent="0.3">
      <c r="A34" s="4"/>
      <c r="B34" s="133"/>
      <c r="C34" s="4"/>
      <c r="D34" s="5"/>
      <c r="G34" s="10" t="s">
        <v>406</v>
      </c>
      <c r="H34" s="9">
        <f>SUMIF($C$6:$C$111,"Other Support Services-Admin: Other Purchased Services", $D$6:$D$111)</f>
        <v>0</v>
      </c>
    </row>
    <row r="35" spans="1:8" ht="14.4" customHeight="1" x14ac:dyDescent="0.3">
      <c r="A35" s="4"/>
      <c r="B35" s="133"/>
      <c r="C35" s="4"/>
      <c r="D35" s="5"/>
      <c r="G35" s="10" t="s">
        <v>407</v>
      </c>
      <c r="H35" s="9">
        <f>SUMIF($C$6:$C$111,"Other Support Services-Admin: General Supplies", $D$6:$D$111)</f>
        <v>0</v>
      </c>
    </row>
    <row r="36" spans="1:8" ht="14.4" customHeight="1" x14ac:dyDescent="0.3">
      <c r="A36" s="4"/>
      <c r="B36" s="133"/>
      <c r="C36" s="4"/>
      <c r="D36" s="5"/>
      <c r="G36" s="10" t="s">
        <v>408</v>
      </c>
      <c r="H36" s="9">
        <f>SUMIF($C$6:$C$111,"Other Support Services-Admin: Property", $D$6:$D$111)</f>
        <v>0</v>
      </c>
    </row>
    <row r="37" spans="1:8" ht="14.4" customHeight="1" x14ac:dyDescent="0.3">
      <c r="A37" s="4"/>
      <c r="B37" s="133"/>
      <c r="C37" s="4"/>
      <c r="D37" s="5"/>
      <c r="G37" s="10"/>
      <c r="H37" s="9"/>
    </row>
    <row r="38" spans="1:8" ht="14.4" customHeight="1" x14ac:dyDescent="0.3">
      <c r="A38" s="4"/>
      <c r="B38" s="133"/>
      <c r="C38" s="4"/>
      <c r="D38" s="5"/>
      <c r="G38" s="8" t="s">
        <v>87</v>
      </c>
      <c r="H38" s="9">
        <f>SUMIF($C$6:$C$111,"Operations and Maintenance: Salary (Cert./Non Cert.)", $D$6:$D$111)</f>
        <v>0</v>
      </c>
    </row>
    <row r="39" spans="1:8" ht="14.4" customHeight="1" x14ac:dyDescent="0.3">
      <c r="A39" s="4"/>
      <c r="B39" s="133"/>
      <c r="C39" s="4"/>
      <c r="D39" s="5"/>
      <c r="G39" s="8" t="s">
        <v>88</v>
      </c>
      <c r="H39" s="9">
        <f>SUMIF($C$6:$C$111,"Operations and Maintenance: Benefits (Cert./Non Cert.)", $D$6:$D$111)</f>
        <v>0</v>
      </c>
    </row>
    <row r="40" spans="1:8" ht="14.4" customHeight="1" x14ac:dyDescent="0.3">
      <c r="A40" s="4"/>
      <c r="B40" s="133"/>
      <c r="C40" s="4"/>
      <c r="D40" s="5"/>
      <c r="G40" s="10" t="s">
        <v>50</v>
      </c>
      <c r="H40" s="9">
        <f>SUMIF($C$6:$C$111,"Operations and Maintenance: Professional Services", $D$6:$D$111)</f>
        <v>0</v>
      </c>
    </row>
    <row r="41" spans="1:8" ht="14.4" customHeight="1" x14ac:dyDescent="0.3">
      <c r="A41" s="4"/>
      <c r="B41" s="133"/>
      <c r="C41" s="4"/>
      <c r="D41" s="5"/>
      <c r="G41" s="10" t="s">
        <v>51</v>
      </c>
      <c r="H41" s="9">
        <f>SUMIF($C$6:$C$111,"Operations and Maintenance: Rentals", $D$6:$D$111)</f>
        <v>0</v>
      </c>
    </row>
    <row r="42" spans="1:8" ht="14.4" customHeight="1" x14ac:dyDescent="0.3">
      <c r="A42" s="4"/>
      <c r="B42" s="133"/>
      <c r="C42" s="4"/>
      <c r="D42" s="5"/>
      <c r="G42" s="10" t="s">
        <v>52</v>
      </c>
      <c r="H42" s="9">
        <f>SUMIF($C$6:$C$111,"Operations and Maintenance: Other Purchased Services", $D$6:$D$111)</f>
        <v>0</v>
      </c>
    </row>
    <row r="43" spans="1:8" ht="14.4" customHeight="1" x14ac:dyDescent="0.3">
      <c r="A43" s="4"/>
      <c r="B43" s="133"/>
      <c r="C43" s="4"/>
      <c r="D43" s="5"/>
      <c r="G43" s="10" t="s">
        <v>53</v>
      </c>
      <c r="H43" s="9">
        <f>SUMIF($C$6:$C$111,"Operations and Maintenance: General Supplies", $D$6:$D$111)</f>
        <v>0</v>
      </c>
    </row>
    <row r="44" spans="1:8" ht="14.4" customHeight="1" x14ac:dyDescent="0.3">
      <c r="A44" s="4"/>
      <c r="B44" s="133"/>
      <c r="C44" s="4"/>
      <c r="D44" s="5"/>
      <c r="G44" s="10" t="s">
        <v>54</v>
      </c>
      <c r="H44" s="9">
        <f>SUMIF($C$6:$C$111,"Operations and Maintenance: Property", $D$6:$D$111)</f>
        <v>0</v>
      </c>
    </row>
    <row r="45" spans="1:8" ht="14.4" customHeight="1" x14ac:dyDescent="0.3">
      <c r="A45" s="4"/>
      <c r="B45" s="133"/>
      <c r="C45" s="4"/>
      <c r="D45" s="5"/>
      <c r="G45" s="10"/>
      <c r="H45" s="9"/>
    </row>
    <row r="46" spans="1:8" ht="14.4" customHeight="1" x14ac:dyDescent="0.3">
      <c r="A46" s="4"/>
      <c r="B46" s="133"/>
      <c r="C46" s="4"/>
      <c r="D46" s="5"/>
      <c r="G46" s="8" t="s">
        <v>89</v>
      </c>
      <c r="H46" s="9">
        <f>SUMIF($C$6:$C$111,"Transportation: Salary (Cert./Non Cert.)", $D$6:$D$111)</f>
        <v>0</v>
      </c>
    </row>
    <row r="47" spans="1:8" ht="14.4" customHeight="1" x14ac:dyDescent="0.3">
      <c r="A47" s="4"/>
      <c r="B47" s="133"/>
      <c r="C47" s="4"/>
      <c r="D47" s="5"/>
      <c r="G47" s="8" t="s">
        <v>90</v>
      </c>
      <c r="H47" s="9">
        <f>SUMIF($C$6:$C$111,"Transportation: Benefits (Cert./Non Cert.)", $D$6:$D$111)</f>
        <v>0</v>
      </c>
    </row>
    <row r="48" spans="1:8" x14ac:dyDescent="0.3">
      <c r="A48" s="4"/>
      <c r="B48" s="133"/>
      <c r="C48" s="4"/>
      <c r="D48" s="5"/>
      <c r="G48" s="10" t="s">
        <v>55</v>
      </c>
      <c r="H48" s="9">
        <f>SUMIF($C$6:$C$111,"Transportation: Professional Services", $D$6:$D$111)</f>
        <v>0</v>
      </c>
    </row>
    <row r="49" spans="1:9" x14ac:dyDescent="0.3">
      <c r="A49" s="4"/>
      <c r="B49" s="133"/>
      <c r="C49" s="4"/>
      <c r="D49" s="5"/>
      <c r="G49" s="10" t="s">
        <v>56</v>
      </c>
      <c r="H49" s="9">
        <f>SUMIF($C$6:$C$111,"Transportation: Rentals", $D$6:$D$111)</f>
        <v>0</v>
      </c>
    </row>
    <row r="50" spans="1:9" x14ac:dyDescent="0.3">
      <c r="A50" s="4"/>
      <c r="B50" s="133"/>
      <c r="C50" s="4"/>
      <c r="D50" s="5"/>
      <c r="G50" s="10" t="s">
        <v>57</v>
      </c>
      <c r="H50" s="9">
        <f>SUMIF($C$6:$C$111,"Transportation: Other Purchased Services", $D$6:$D$111)</f>
        <v>0</v>
      </c>
    </row>
    <row r="51" spans="1:9" x14ac:dyDescent="0.3">
      <c r="A51" s="4"/>
      <c r="B51" s="133"/>
      <c r="C51" s="4"/>
      <c r="D51" s="5"/>
      <c r="G51" s="10" t="s">
        <v>58</v>
      </c>
      <c r="H51" s="9">
        <f>SUMIF($C$6:$C$111,"Transportation: General Supplies", $D$6:$D$111)</f>
        <v>0</v>
      </c>
    </row>
    <row r="52" spans="1:9" x14ac:dyDescent="0.3">
      <c r="A52" s="4"/>
      <c r="B52" s="133"/>
      <c r="C52" s="4"/>
      <c r="D52" s="5"/>
      <c r="G52" s="10" t="s">
        <v>59</v>
      </c>
      <c r="H52" s="9">
        <f>SUMIF($C$6:$C$111,"Transportation: Property", $D$6:$D$111)</f>
        <v>0</v>
      </c>
    </row>
    <row r="53" spans="1:9" x14ac:dyDescent="0.3">
      <c r="A53" s="4"/>
      <c r="B53" s="133"/>
      <c r="C53" s="4"/>
      <c r="D53" s="5"/>
      <c r="G53" s="10"/>
      <c r="H53" s="9"/>
    </row>
    <row r="54" spans="1:9" x14ac:dyDescent="0.3">
      <c r="A54" s="4"/>
      <c r="B54" s="133"/>
      <c r="C54" s="4"/>
      <c r="D54" s="5"/>
      <c r="G54" s="8" t="s">
        <v>91</v>
      </c>
      <c r="H54" s="9">
        <f>SUMIF($C$6:$C$111,"Community Services Operations: Salary (Cert./Non Cert.)", $D$6:$D$111)</f>
        <v>0</v>
      </c>
    </row>
    <row r="55" spans="1:9" x14ac:dyDescent="0.3">
      <c r="A55" s="4"/>
      <c r="B55" s="133"/>
      <c r="C55" s="4"/>
      <c r="D55" s="5"/>
      <c r="G55" s="8" t="s">
        <v>92</v>
      </c>
      <c r="H55" s="9">
        <f>SUMIF($C$6:$C$111,"Community Services Operations: Benefits (Cert./Non Cert.)", $D$6:$D$111)</f>
        <v>0</v>
      </c>
    </row>
    <row r="56" spans="1:9" x14ac:dyDescent="0.3">
      <c r="A56" s="4"/>
      <c r="B56" s="133"/>
      <c r="C56" s="4"/>
      <c r="D56" s="5"/>
      <c r="G56" s="10" t="s">
        <v>60</v>
      </c>
      <c r="H56" s="9">
        <f>SUMIF($C$6:$C$111,"Community Services Operations: Professional Services", $D$6:$D$111)</f>
        <v>0</v>
      </c>
    </row>
    <row r="57" spans="1:9" x14ac:dyDescent="0.3">
      <c r="A57" s="4"/>
      <c r="B57" s="133"/>
      <c r="C57" s="4"/>
      <c r="D57" s="5"/>
      <c r="G57" s="10" t="s">
        <v>61</v>
      </c>
      <c r="H57" s="9">
        <f>SUMIF($C$6:$C$111,"Community Services Operations: Rentals", $D$6:$D$111)</f>
        <v>0</v>
      </c>
    </row>
    <row r="58" spans="1:9" x14ac:dyDescent="0.3">
      <c r="A58" s="4"/>
      <c r="B58" s="133"/>
      <c r="C58" s="4"/>
      <c r="D58" s="5"/>
      <c r="G58" s="10" t="s">
        <v>62</v>
      </c>
      <c r="H58" s="9">
        <f>SUMIF($C$6:$C$111,"Community Services Operations: Other Purchased Services", $D$6:$D$111)</f>
        <v>0</v>
      </c>
    </row>
    <row r="59" spans="1:9" x14ac:dyDescent="0.3">
      <c r="A59" s="4"/>
      <c r="B59" s="133"/>
      <c r="C59" s="4"/>
      <c r="D59" s="5"/>
      <c r="G59" s="10" t="s">
        <v>63</v>
      </c>
      <c r="H59" s="9">
        <f>SUMIF($C$6:$C$111,"Community Services Operations: General Supplies", $D$6:$D$111)</f>
        <v>0</v>
      </c>
    </row>
    <row r="60" spans="1:9" x14ac:dyDescent="0.3">
      <c r="A60" s="4"/>
      <c r="B60" s="133"/>
      <c r="C60" s="4"/>
      <c r="D60" s="5"/>
      <c r="G60" s="10" t="s">
        <v>64</v>
      </c>
      <c r="H60" s="9">
        <f>SUMIF($C$6:$C$111,"Community Services Operations: Property", $D$6:$D$111)</f>
        <v>0</v>
      </c>
    </row>
    <row r="61" spans="1:9" x14ac:dyDescent="0.3">
      <c r="A61" s="4"/>
      <c r="B61" s="133"/>
      <c r="C61" s="4"/>
      <c r="D61" s="5"/>
      <c r="G61" s="10"/>
      <c r="H61" s="9"/>
    </row>
    <row r="62" spans="1:9" x14ac:dyDescent="0.3">
      <c r="A62" s="4"/>
      <c r="B62" s="133"/>
      <c r="C62" s="4"/>
      <c r="D62" s="5"/>
      <c r="G62" s="11" t="s">
        <v>65</v>
      </c>
      <c r="H62" s="9">
        <f>SUMIF($C$6:$C$111,"Indirect Cost Used", $D$6:$D$111)</f>
        <v>0</v>
      </c>
    </row>
    <row r="63" spans="1:9" x14ac:dyDescent="0.3">
      <c r="A63" s="4"/>
      <c r="B63" s="133"/>
      <c r="C63" s="4"/>
      <c r="D63" s="5"/>
      <c r="G63" s="186"/>
      <c r="H63" s="185"/>
    </row>
    <row r="64" spans="1:9" ht="14.4" customHeight="1" x14ac:dyDescent="0.3">
      <c r="A64" s="4"/>
      <c r="B64" s="133"/>
      <c r="C64" s="4"/>
      <c r="D64" s="5"/>
      <c r="G64" s="165" t="s">
        <v>69</v>
      </c>
      <c r="H64" s="54">
        <f>SUM(H6:H62)</f>
        <v>0</v>
      </c>
      <c r="I64" s="181">
        <f>SUM(H30:H37)+H62</f>
        <v>0</v>
      </c>
    </row>
    <row r="65" spans="1:8" x14ac:dyDescent="0.3">
      <c r="A65" s="4"/>
      <c r="B65" s="133"/>
      <c r="C65" s="4"/>
      <c r="D65" s="5"/>
    </row>
    <row r="66" spans="1:8" x14ac:dyDescent="0.3">
      <c r="A66" s="4"/>
      <c r="B66" s="133"/>
      <c r="C66" s="4"/>
      <c r="D66" s="5"/>
      <c r="G66" s="72" t="s">
        <v>1968</v>
      </c>
      <c r="H66" s="72" t="s">
        <v>1969</v>
      </c>
    </row>
    <row r="67" spans="1:8" x14ac:dyDescent="0.3">
      <c r="A67" s="4"/>
      <c r="B67" s="133"/>
      <c r="C67" s="4"/>
      <c r="D67" s="5"/>
      <c r="G67" s="73" t="str">
        <f>'Equitable Share'!D12</f>
        <v xml:space="preserve"> </v>
      </c>
      <c r="H67" s="14">
        <f>SUMIF($A$6:$A$111,G67,$D$6:$D$111)</f>
        <v>0</v>
      </c>
    </row>
    <row r="68" spans="1:8" x14ac:dyDescent="0.3">
      <c r="A68" s="4"/>
      <c r="B68" s="133"/>
      <c r="C68" s="4"/>
      <c r="D68" s="5"/>
      <c r="G68" s="73" t="str">
        <f>'Equitable Share'!D13</f>
        <v xml:space="preserve"> </v>
      </c>
      <c r="H68" s="14">
        <f t="shared" ref="H68:H96" si="0">SUMIF($A$6:$A$111,G68,$D$6:$D$111)</f>
        <v>0</v>
      </c>
    </row>
    <row r="69" spans="1:8" x14ac:dyDescent="0.3">
      <c r="A69" s="4"/>
      <c r="B69" s="133"/>
      <c r="C69" s="4"/>
      <c r="D69" s="5"/>
      <c r="G69" s="73" t="str">
        <f>'Equitable Share'!D14</f>
        <v xml:space="preserve"> </v>
      </c>
      <c r="H69" s="14">
        <f t="shared" si="0"/>
        <v>0</v>
      </c>
    </row>
    <row r="70" spans="1:8" x14ac:dyDescent="0.3">
      <c r="A70" s="4"/>
      <c r="B70" s="133"/>
      <c r="C70" s="4"/>
      <c r="D70" s="5"/>
      <c r="G70" s="73" t="str">
        <f>'Equitable Share'!D15</f>
        <v xml:space="preserve"> </v>
      </c>
      <c r="H70" s="14">
        <f t="shared" si="0"/>
        <v>0</v>
      </c>
    </row>
    <row r="71" spans="1:8" x14ac:dyDescent="0.3">
      <c r="A71" s="4"/>
      <c r="B71" s="133"/>
      <c r="C71" s="4"/>
      <c r="D71" s="5"/>
      <c r="G71" s="73" t="str">
        <f>'Equitable Share'!D16</f>
        <v xml:space="preserve"> </v>
      </c>
      <c r="H71" s="14">
        <f t="shared" si="0"/>
        <v>0</v>
      </c>
    </row>
    <row r="72" spans="1:8" x14ac:dyDescent="0.3">
      <c r="A72" s="4"/>
      <c r="B72" s="133"/>
      <c r="C72" s="4"/>
      <c r="D72" s="5"/>
      <c r="G72" s="73" t="str">
        <f>'Equitable Share'!D17</f>
        <v xml:space="preserve"> </v>
      </c>
      <c r="H72" s="14">
        <f t="shared" si="0"/>
        <v>0</v>
      </c>
    </row>
    <row r="73" spans="1:8" x14ac:dyDescent="0.3">
      <c r="A73" s="4"/>
      <c r="B73" s="133"/>
      <c r="C73" s="4"/>
      <c r="D73" s="5"/>
      <c r="G73" s="73" t="str">
        <f>'Equitable Share'!D18</f>
        <v xml:space="preserve"> </v>
      </c>
      <c r="H73" s="14">
        <f t="shared" si="0"/>
        <v>0</v>
      </c>
    </row>
    <row r="74" spans="1:8" x14ac:dyDescent="0.3">
      <c r="A74" s="4"/>
      <c r="B74" s="133"/>
      <c r="C74" s="4"/>
      <c r="D74" s="5"/>
      <c r="G74" s="73" t="str">
        <f>'Equitable Share'!D19</f>
        <v xml:space="preserve"> </v>
      </c>
      <c r="H74" s="14">
        <f t="shared" si="0"/>
        <v>0</v>
      </c>
    </row>
    <row r="75" spans="1:8" x14ac:dyDescent="0.3">
      <c r="A75" s="4"/>
      <c r="B75" s="133"/>
      <c r="C75" s="4"/>
      <c r="D75" s="5"/>
      <c r="G75" s="73" t="str">
        <f>'Equitable Share'!D20</f>
        <v xml:space="preserve"> </v>
      </c>
      <c r="H75" s="14">
        <f t="shared" si="0"/>
        <v>0</v>
      </c>
    </row>
    <row r="76" spans="1:8" x14ac:dyDescent="0.3">
      <c r="A76" s="4"/>
      <c r="B76" s="133"/>
      <c r="C76" s="4"/>
      <c r="D76" s="5"/>
      <c r="G76" s="73" t="str">
        <f>'Equitable Share'!D21</f>
        <v xml:space="preserve"> </v>
      </c>
      <c r="H76" s="14">
        <f t="shared" si="0"/>
        <v>0</v>
      </c>
    </row>
    <row r="77" spans="1:8" x14ac:dyDescent="0.3">
      <c r="A77" s="4"/>
      <c r="B77" s="133"/>
      <c r="C77" s="4"/>
      <c r="D77" s="5"/>
      <c r="G77" s="73" t="str">
        <f>'Equitable Share'!D22</f>
        <v xml:space="preserve"> </v>
      </c>
      <c r="H77" s="14">
        <f t="shared" si="0"/>
        <v>0</v>
      </c>
    </row>
    <row r="78" spans="1:8" x14ac:dyDescent="0.3">
      <c r="A78" s="4"/>
      <c r="B78" s="133"/>
      <c r="C78" s="4"/>
      <c r="D78" s="5"/>
      <c r="G78" s="73" t="str">
        <f>'Equitable Share'!D23</f>
        <v xml:space="preserve"> </v>
      </c>
      <c r="H78" s="14">
        <f t="shared" si="0"/>
        <v>0</v>
      </c>
    </row>
    <row r="79" spans="1:8" x14ac:dyDescent="0.3">
      <c r="A79" s="4"/>
      <c r="B79" s="133"/>
      <c r="C79" s="4"/>
      <c r="D79" s="5"/>
      <c r="G79" s="73" t="str">
        <f>'Equitable Share'!D24</f>
        <v xml:space="preserve"> </v>
      </c>
      <c r="H79" s="14">
        <f t="shared" si="0"/>
        <v>0</v>
      </c>
    </row>
    <row r="80" spans="1:8" x14ac:dyDescent="0.3">
      <c r="A80" s="4"/>
      <c r="B80" s="133"/>
      <c r="C80" s="4"/>
      <c r="D80" s="5"/>
      <c r="G80" s="73" t="str">
        <f>'Equitable Share'!D39</f>
        <v xml:space="preserve"> </v>
      </c>
      <c r="H80" s="14">
        <f t="shared" si="0"/>
        <v>0</v>
      </c>
    </row>
    <row r="81" spans="1:8" x14ac:dyDescent="0.3">
      <c r="A81" s="4"/>
      <c r="B81" s="133"/>
      <c r="C81" s="4"/>
      <c r="D81" s="5"/>
      <c r="G81" s="73" t="str">
        <f>'Equitable Share'!D40</f>
        <v xml:space="preserve"> </v>
      </c>
      <c r="H81" s="14">
        <f t="shared" si="0"/>
        <v>0</v>
      </c>
    </row>
    <row r="82" spans="1:8" x14ac:dyDescent="0.3">
      <c r="A82" s="4"/>
      <c r="B82" s="133"/>
      <c r="C82" s="4"/>
      <c r="D82" s="5"/>
      <c r="G82" s="73" t="str">
        <f>'Equitable Share'!D41</f>
        <v xml:space="preserve"> </v>
      </c>
      <c r="H82" s="14">
        <f t="shared" si="0"/>
        <v>0</v>
      </c>
    </row>
    <row r="83" spans="1:8" x14ac:dyDescent="0.3">
      <c r="A83" s="4"/>
      <c r="B83" s="133"/>
      <c r="C83" s="4"/>
      <c r="D83" s="5"/>
      <c r="G83" s="73" t="str">
        <f>'Equitable Share'!D42</f>
        <v xml:space="preserve"> </v>
      </c>
      <c r="H83" s="14">
        <f t="shared" si="0"/>
        <v>0</v>
      </c>
    </row>
    <row r="84" spans="1:8" x14ac:dyDescent="0.3">
      <c r="A84" s="4"/>
      <c r="B84" s="133"/>
      <c r="C84" s="4"/>
      <c r="D84" s="5"/>
      <c r="G84" s="73" t="str">
        <f>'Equitable Share'!D43</f>
        <v xml:space="preserve"> </v>
      </c>
      <c r="H84" s="14">
        <f t="shared" si="0"/>
        <v>0</v>
      </c>
    </row>
    <row r="85" spans="1:8" x14ac:dyDescent="0.3">
      <c r="A85" s="4"/>
      <c r="B85" s="133"/>
      <c r="C85" s="4"/>
      <c r="D85" s="5"/>
      <c r="G85" s="73" t="str">
        <f>'Equitable Share'!D44</f>
        <v xml:space="preserve"> </v>
      </c>
      <c r="H85" s="14">
        <f t="shared" si="0"/>
        <v>0</v>
      </c>
    </row>
    <row r="86" spans="1:8" x14ac:dyDescent="0.3">
      <c r="A86" s="4"/>
      <c r="B86" s="133"/>
      <c r="C86" s="4"/>
      <c r="D86" s="5"/>
      <c r="G86" s="73" t="str">
        <f>'Equitable Share'!D45</f>
        <v xml:space="preserve"> </v>
      </c>
      <c r="H86" s="14">
        <f t="shared" si="0"/>
        <v>0</v>
      </c>
    </row>
    <row r="87" spans="1:8" x14ac:dyDescent="0.3">
      <c r="A87" s="4"/>
      <c r="B87" s="133"/>
      <c r="C87" s="4"/>
      <c r="D87" s="5"/>
      <c r="G87" s="73" t="str">
        <f>'Equitable Share'!D46</f>
        <v xml:space="preserve"> </v>
      </c>
      <c r="H87" s="14">
        <f t="shared" si="0"/>
        <v>0</v>
      </c>
    </row>
    <row r="88" spans="1:8" x14ac:dyDescent="0.3">
      <c r="A88" s="4"/>
      <c r="B88" s="133"/>
      <c r="C88" s="4"/>
      <c r="D88" s="5"/>
      <c r="G88" s="73" t="str">
        <f>'Equitable Share'!D47</f>
        <v xml:space="preserve"> </v>
      </c>
      <c r="H88" s="14">
        <f t="shared" si="0"/>
        <v>0</v>
      </c>
    </row>
    <row r="89" spans="1:8" x14ac:dyDescent="0.3">
      <c r="A89" s="4"/>
      <c r="B89" s="133"/>
      <c r="C89" s="4"/>
      <c r="D89" s="5"/>
      <c r="G89" s="73" t="str">
        <f>'Equitable Share'!D48</f>
        <v xml:space="preserve"> </v>
      </c>
      <c r="H89" s="14">
        <f t="shared" si="0"/>
        <v>0</v>
      </c>
    </row>
    <row r="90" spans="1:8" x14ac:dyDescent="0.3">
      <c r="A90" s="4"/>
      <c r="B90" s="133"/>
      <c r="C90" s="4"/>
      <c r="D90" s="5"/>
      <c r="G90" s="73" t="str">
        <f>'Equitable Share'!D49</f>
        <v xml:space="preserve"> </v>
      </c>
      <c r="H90" s="14">
        <f t="shared" si="0"/>
        <v>0</v>
      </c>
    </row>
    <row r="91" spans="1:8" x14ac:dyDescent="0.3">
      <c r="A91" s="4"/>
      <c r="B91" s="133"/>
      <c r="C91" s="4"/>
      <c r="D91" s="5"/>
      <c r="G91" s="73" t="str">
        <f>'Equitable Share'!D50</f>
        <v xml:space="preserve"> </v>
      </c>
      <c r="H91" s="14">
        <f t="shared" si="0"/>
        <v>0</v>
      </c>
    </row>
    <row r="92" spans="1:8" x14ac:dyDescent="0.3">
      <c r="A92" s="4"/>
      <c r="B92" s="133"/>
      <c r="C92" s="4"/>
      <c r="D92" s="5"/>
      <c r="G92" s="73" t="str">
        <f>'Equitable Share'!D51</f>
        <v xml:space="preserve"> </v>
      </c>
      <c r="H92" s="14">
        <f t="shared" si="0"/>
        <v>0</v>
      </c>
    </row>
    <row r="93" spans="1:8" x14ac:dyDescent="0.3">
      <c r="A93" s="4"/>
      <c r="B93" s="133"/>
      <c r="C93" s="4"/>
      <c r="D93" s="5"/>
      <c r="G93" s="73" t="str">
        <f>'Equitable Share'!D52</f>
        <v xml:space="preserve"> </v>
      </c>
      <c r="H93" s="14">
        <f t="shared" si="0"/>
        <v>0</v>
      </c>
    </row>
    <row r="94" spans="1:8" x14ac:dyDescent="0.3">
      <c r="A94" s="4"/>
      <c r="B94" s="133"/>
      <c r="C94" s="4"/>
      <c r="D94" s="5"/>
      <c r="G94" s="73" t="str">
        <f>'Equitable Share'!D53</f>
        <v xml:space="preserve"> </v>
      </c>
      <c r="H94" s="14">
        <f t="shared" si="0"/>
        <v>0</v>
      </c>
    </row>
    <row r="95" spans="1:8" x14ac:dyDescent="0.3">
      <c r="A95" s="4"/>
      <c r="B95" s="133"/>
      <c r="C95" s="4"/>
      <c r="D95" s="5"/>
      <c r="G95" s="73" t="str">
        <f>'Equitable Share'!D54</f>
        <v xml:space="preserve"> </v>
      </c>
      <c r="H95" s="14">
        <f t="shared" si="0"/>
        <v>0</v>
      </c>
    </row>
    <row r="96" spans="1:8" x14ac:dyDescent="0.3">
      <c r="A96" s="4"/>
      <c r="B96" s="133"/>
      <c r="C96" s="4"/>
      <c r="D96" s="5"/>
      <c r="G96" s="73" t="str">
        <f>'Equitable Share'!D55</f>
        <v xml:space="preserve"> </v>
      </c>
      <c r="H96" s="14">
        <f t="shared" si="0"/>
        <v>0</v>
      </c>
    </row>
    <row r="97" spans="1:4" x14ac:dyDescent="0.3">
      <c r="A97" s="4"/>
      <c r="B97" s="133"/>
      <c r="C97" s="4"/>
      <c r="D97" s="5"/>
    </row>
    <row r="98" spans="1:4" x14ac:dyDescent="0.3">
      <c r="A98" s="4"/>
      <c r="B98" s="133"/>
      <c r="C98" s="4"/>
      <c r="D98" s="5"/>
    </row>
    <row r="99" spans="1:4" x14ac:dyDescent="0.3">
      <c r="A99" s="4"/>
      <c r="B99" s="133"/>
      <c r="C99" s="4"/>
      <c r="D99" s="5"/>
    </row>
    <row r="100" spans="1:4" x14ac:dyDescent="0.3">
      <c r="A100" s="4"/>
      <c r="B100" s="133"/>
      <c r="C100" s="4"/>
      <c r="D100" s="5"/>
    </row>
    <row r="101" spans="1:4" x14ac:dyDescent="0.3">
      <c r="A101" s="4"/>
      <c r="B101" s="133"/>
      <c r="C101" s="4"/>
      <c r="D101" s="5"/>
    </row>
    <row r="102" spans="1:4" x14ac:dyDescent="0.3">
      <c r="A102" s="4"/>
      <c r="B102" s="133"/>
      <c r="C102" s="4"/>
      <c r="D102" s="5"/>
    </row>
    <row r="103" spans="1:4" x14ac:dyDescent="0.3">
      <c r="A103" s="4"/>
      <c r="B103" s="133"/>
      <c r="C103" s="4"/>
      <c r="D103" s="5"/>
    </row>
    <row r="104" spans="1:4" x14ac:dyDescent="0.3">
      <c r="A104" s="4"/>
      <c r="B104" s="133"/>
      <c r="C104" s="4"/>
      <c r="D104" s="5"/>
    </row>
    <row r="105" spans="1:4" x14ac:dyDescent="0.3">
      <c r="A105" s="4"/>
      <c r="B105" s="133"/>
      <c r="C105" s="4"/>
      <c r="D105" s="5"/>
    </row>
    <row r="106" spans="1:4" x14ac:dyDescent="0.3">
      <c r="A106" s="4"/>
      <c r="B106" s="133"/>
      <c r="C106" s="4"/>
      <c r="D106" s="5"/>
    </row>
    <row r="107" spans="1:4" x14ac:dyDescent="0.3">
      <c r="A107" s="4"/>
      <c r="B107" s="133"/>
      <c r="C107" s="4"/>
      <c r="D107" s="5"/>
    </row>
    <row r="108" spans="1:4" x14ac:dyDescent="0.3">
      <c r="A108" s="4"/>
      <c r="B108" s="133"/>
      <c r="C108" s="4"/>
      <c r="D108" s="5"/>
    </row>
    <row r="109" spans="1:4" x14ac:dyDescent="0.3">
      <c r="A109" s="4"/>
      <c r="B109" s="133"/>
      <c r="C109" s="4"/>
      <c r="D109" s="5"/>
    </row>
    <row r="110" spans="1:4" x14ac:dyDescent="0.3">
      <c r="A110" s="4"/>
      <c r="B110" s="133"/>
      <c r="C110" s="4"/>
      <c r="D110" s="5"/>
    </row>
    <row r="111" spans="1:4" x14ac:dyDescent="0.3">
      <c r="A111" s="4"/>
      <c r="B111" s="133"/>
      <c r="C111" s="4"/>
      <c r="D111" s="5"/>
    </row>
    <row r="112" spans="1:4" ht="14.4" customHeight="1" x14ac:dyDescent="0.3">
      <c r="A112" s="74"/>
      <c r="B112" s="74"/>
      <c r="C112" s="75" t="s">
        <v>1986</v>
      </c>
      <c r="D112" s="166">
        <f>SUM(D6:D111)</f>
        <v>0</v>
      </c>
    </row>
    <row r="113" spans="3:4" ht="14.4" customHeight="1" x14ac:dyDescent="0.3">
      <c r="C113" s="76" t="s">
        <v>1987</v>
      </c>
      <c r="D113" s="164" t="str">
        <f>'Amend#4 Overview'!G13</f>
        <v xml:space="preserve"> </v>
      </c>
    </row>
    <row r="114" spans="3:4" x14ac:dyDescent="0.3">
      <c r="C114" s="232" t="s">
        <v>400</v>
      </c>
      <c r="D114" s="54" t="str">
        <f>IFERROR(D113-D112,"")</f>
        <v/>
      </c>
    </row>
  </sheetData>
  <sheetProtection algorithmName="SHA-512" hashValue="eWcYam8aijh3olmMWgyKM+SVvZ6mK3HmMfKwMLEhUaupS+MT5EFUK5uf5xnurpqzjVUVnf5yTyqlR3Dy8NiLRA==" saltValue="X69m3G7zAoIvVz8kjBLkBw==" spinCount="100000" sheet="1" objects="1" scenarios="1" selectLockedCells="1"/>
  <mergeCells count="2">
    <mergeCell ref="A1:H1"/>
    <mergeCell ref="A2:H3"/>
  </mergeCells>
  <conditionalFormatting sqref="D112">
    <cfRule type="cellIs" dxfId="38" priority="9" operator="lessThan">
      <formula>$D$113</formula>
    </cfRule>
    <cfRule type="cellIs" dxfId="37" priority="11" operator="equal">
      <formula>$D$113</formula>
    </cfRule>
    <cfRule type="cellIs" dxfId="36" priority="12" operator="greaterThan">
      <formula>$D$113</formula>
    </cfRule>
  </conditionalFormatting>
  <conditionalFormatting sqref="H67:H96">
    <cfRule type="expression" dxfId="35" priority="4" stopIfTrue="1">
      <formula>H67=0</formula>
    </cfRule>
  </conditionalFormatting>
  <conditionalFormatting sqref="G6:G62">
    <cfRule type="expression" dxfId="34" priority="2">
      <formula>MOD(ROW(),2)=0</formula>
    </cfRule>
  </conditionalFormatting>
  <conditionalFormatting sqref="H6:H63">
    <cfRule type="expression" dxfId="33" priority="3">
      <formula>MOD(ROW(),2)=0</formula>
    </cfRule>
  </conditionalFormatting>
  <conditionalFormatting sqref="G63">
    <cfRule type="expression" dxfId="32" priority="1">
      <formula>MOD(ROW(),2)=0</formula>
    </cfRule>
  </conditionalFormatting>
  <dataValidations count="2">
    <dataValidation type="list" allowBlank="1" showInputMessage="1" showErrorMessage="1" promptTitle="Select Budget Category" sqref="C6:C111" xr:uid="{C717E7D1-CAA8-4274-B006-960EA7888BE9}">
      <formula1>$G$6:$G$63</formula1>
    </dataValidation>
    <dataValidation type="list" allowBlank="1" showInputMessage="1" showErrorMessage="1" promptTitle="Select Budget Category" sqref="C5" xr:uid="{40976C95-C206-42B2-A016-A7FA61C22A84}">
      <formula1>$G$6:$G$62</formula1>
    </dataValidation>
  </dataValidations>
  <hyperlinks>
    <hyperlink ref="C4" location="'Budget Category'!A1" display="Budget Category" xr:uid="{977D65D9-63D4-494A-9107-754C4C68DC3E}"/>
  </hyperlinks>
  <pageMargins left="0.7" right="0.7" top="0.75" bottom="0.75" header="0.3" footer="0.3"/>
  <pageSetup orientation="landscape"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5" id="{09310860-A57C-4F46-A4A5-1A944786D7B4}">
            <xm:f>H67&lt;'Amend#3 Equitable Share'!K12:M12</xm:f>
            <x14:dxf>
              <fill>
                <patternFill>
                  <bgColor rgb="FFFFFF00"/>
                </patternFill>
              </fill>
            </x14:dxf>
          </x14:cfRule>
          <x14:cfRule type="expression" priority="6" id="{C274430F-3D3B-4C1F-9278-5523AED0FE4E}">
            <xm:f>H67&gt;'Amend#3 Equitable Share'!K12:M12</xm:f>
            <x14:dxf>
              <fill>
                <patternFill>
                  <bgColor rgb="FFFF0000"/>
                </patternFill>
              </fill>
            </x14:dxf>
          </x14:cfRule>
          <x14:cfRule type="expression" priority="7" id="{A5F63531-F9CF-4D33-8A66-3515B9D1420C}">
            <xm:f>H67='Amend#3 Equitable Share'!K12:M12</xm:f>
            <x14:dxf>
              <fill>
                <patternFill>
                  <bgColor rgb="FF92D050"/>
                </patternFill>
              </fill>
            </x14:dxf>
          </x14:cfRule>
          <xm:sqref>H67:H96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Please choose NPS from list." xr:uid="{12DC5ABC-C65E-4EF7-A1B7-322159F0A481}">
          <x14:formula1>
            <xm:f>'Equitable Share'!$D$12:$D$55</xm:f>
          </x14:formula1>
          <xm:sqref>A6:A111</xm:sqref>
        </x14:dataValidation>
      </x14:dataValidations>
    </ext>
  </extLs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713D-0743-4E99-A6A3-9A7FCFAA4093}">
  <sheetPr codeName="Sheet31">
    <tabColor theme="5" tint="0.39997558519241921"/>
  </sheetPr>
  <dimension ref="A1:M74"/>
  <sheetViews>
    <sheetView showGridLines="0" zoomScaleNormal="100" workbookViewId="0">
      <selection activeCell="C4" sqref="C4:D4"/>
    </sheetView>
  </sheetViews>
  <sheetFormatPr defaultRowHeight="14.4" x14ac:dyDescent="0.3"/>
  <cols>
    <col min="1" max="1" width="61" customWidth="1"/>
    <col min="2" max="2" width="12.5546875" style="3" bestFit="1" customWidth="1"/>
    <col min="3" max="3" width="32.33203125" customWidth="1"/>
    <col min="4" max="4" width="15.33203125" style="3" customWidth="1"/>
    <col min="5" max="5" width="16.44140625" customWidth="1"/>
    <col min="6" max="7" width="2" customWidth="1"/>
    <col min="8" max="8" width="46.5546875" customWidth="1"/>
    <col min="9" max="9" width="17.5546875" customWidth="1"/>
    <col min="10" max="10" width="14.33203125" customWidth="1"/>
  </cols>
  <sheetData>
    <row r="1" spans="1:13" ht="43.2" customHeight="1" thickBot="1" x14ac:dyDescent="0.35">
      <c r="A1" s="790" t="s">
        <v>2016</v>
      </c>
      <c r="B1" s="791"/>
      <c r="C1" s="791"/>
      <c r="D1" s="791"/>
      <c r="E1" s="791"/>
      <c r="F1" s="791"/>
      <c r="G1" s="791"/>
      <c r="H1" s="791"/>
      <c r="I1" s="792"/>
    </row>
    <row r="2" spans="1:13" ht="14.4" customHeight="1" x14ac:dyDescent="0.3">
      <c r="A2" s="769" t="s">
        <v>425</v>
      </c>
      <c r="B2" s="770"/>
      <c r="C2" s="770"/>
      <c r="D2" s="770"/>
      <c r="E2" s="770"/>
      <c r="F2" s="770"/>
      <c r="G2" s="770"/>
      <c r="H2" s="770"/>
      <c r="I2" s="771"/>
    </row>
    <row r="3" spans="1:13" s="2" customFormat="1" ht="14.4" customHeight="1" thickBot="1" x14ac:dyDescent="0.35">
      <c r="A3" s="772"/>
      <c r="B3" s="773"/>
      <c r="C3" s="773"/>
      <c r="D3" s="773"/>
      <c r="E3" s="773"/>
      <c r="F3" s="773"/>
      <c r="G3" s="773"/>
      <c r="H3" s="773"/>
      <c r="I3" s="774"/>
    </row>
    <row r="4" spans="1:13" s="2" customFormat="1" ht="14.4" customHeight="1" thickBot="1" x14ac:dyDescent="0.4">
      <c r="A4" s="21" t="s">
        <v>32</v>
      </c>
      <c r="B4" s="22" t="s">
        <v>135</v>
      </c>
      <c r="C4" s="225" t="s">
        <v>33</v>
      </c>
      <c r="D4" s="24"/>
      <c r="E4" s="21" t="s">
        <v>1984</v>
      </c>
      <c r="F4" s="1"/>
      <c r="G4" s="1"/>
      <c r="H4" s="1"/>
      <c r="I4" s="1"/>
      <c r="J4" s="1"/>
      <c r="K4" s="1"/>
      <c r="L4" s="1"/>
      <c r="M4" s="1"/>
    </row>
    <row r="5" spans="1:13" ht="14.4" customHeight="1" thickBot="1" x14ac:dyDescent="0.4">
      <c r="A5" s="31" t="s">
        <v>136</v>
      </c>
      <c r="B5" s="32" t="s">
        <v>137</v>
      </c>
      <c r="C5" s="775" t="s">
        <v>81</v>
      </c>
      <c r="D5" s="776"/>
      <c r="E5" s="33" t="s">
        <v>76</v>
      </c>
      <c r="H5" s="6" t="s">
        <v>66</v>
      </c>
      <c r="I5" s="7" t="s">
        <v>34</v>
      </c>
    </row>
    <row r="6" spans="1:13" ht="14.4" customHeight="1" x14ac:dyDescent="0.3">
      <c r="A6" s="136"/>
      <c r="B6" s="219"/>
      <c r="C6" s="553"/>
      <c r="D6" s="554"/>
      <c r="E6" s="65"/>
      <c r="H6" s="8" t="s">
        <v>81</v>
      </c>
      <c r="I6" s="9">
        <f>SUMIF($C$6:$C$35,"Instruction: Salary (Cert./Non Cert.)", $E$6:$E$35)</f>
        <v>0</v>
      </c>
      <c r="J6" s="34"/>
    </row>
    <row r="7" spans="1:13" ht="14.4" customHeight="1" x14ac:dyDescent="0.3">
      <c r="A7" s="55"/>
      <c r="B7" s="191"/>
      <c r="C7" s="555"/>
      <c r="D7" s="556"/>
      <c r="E7" s="66"/>
      <c r="H7" s="8" t="s">
        <v>82</v>
      </c>
      <c r="I7" s="9">
        <f>SUMIF($C$6:$C$35,"Instruction: Benefits (Cert./Non Cert.)", $E$6:$E$35)</f>
        <v>0</v>
      </c>
    </row>
    <row r="8" spans="1:13" ht="14.4" customHeight="1" x14ac:dyDescent="0.3">
      <c r="A8" s="57"/>
      <c r="B8" s="58"/>
      <c r="C8" s="559"/>
      <c r="D8" s="560"/>
      <c r="E8" s="67"/>
      <c r="H8" s="10" t="s">
        <v>35</v>
      </c>
      <c r="I8" s="9">
        <f>SUMIF($C$6:$C$35,"Instruction: Professional Services", $E$6:$E$35)</f>
        <v>0</v>
      </c>
    </row>
    <row r="9" spans="1:13" ht="14.4" customHeight="1" x14ac:dyDescent="0.3">
      <c r="A9" s="131"/>
      <c r="B9" s="56"/>
      <c r="C9" s="555"/>
      <c r="D9" s="556"/>
      <c r="E9" s="68"/>
      <c r="H9" s="10" t="s">
        <v>36</v>
      </c>
      <c r="I9" s="9">
        <f>SUMIF($C$6:$C$35,"Instruction: Rentals", $E$6:$E$35)</f>
        <v>0</v>
      </c>
    </row>
    <row r="10" spans="1:13" ht="14.4" customHeight="1" x14ac:dyDescent="0.3">
      <c r="A10" s="132"/>
      <c r="B10" s="58"/>
      <c r="C10" s="559"/>
      <c r="D10" s="560"/>
      <c r="E10" s="67"/>
      <c r="H10" s="10" t="s">
        <v>37</v>
      </c>
      <c r="I10" s="9">
        <f>SUMIF($C$6:$C$35,"Instruction: Other Purchased Services", $E$6:$E$35)</f>
        <v>0</v>
      </c>
    </row>
    <row r="11" spans="1:13" ht="14.4" customHeight="1" x14ac:dyDescent="0.3">
      <c r="A11" s="131"/>
      <c r="B11" s="56"/>
      <c r="C11" s="555"/>
      <c r="D11" s="556"/>
      <c r="E11" s="68"/>
      <c r="H11" s="10" t="s">
        <v>38</v>
      </c>
      <c r="I11" s="9">
        <f>SUMIF($C$6:$C$35,"Instruction: General Supplies", $E$6:$E$35)</f>
        <v>0</v>
      </c>
    </row>
    <row r="12" spans="1:13" ht="14.4" customHeight="1" x14ac:dyDescent="0.3">
      <c r="A12" s="132"/>
      <c r="B12" s="58"/>
      <c r="C12" s="559"/>
      <c r="D12" s="560"/>
      <c r="E12" s="67"/>
      <c r="H12" s="10" t="s">
        <v>39</v>
      </c>
      <c r="I12" s="9">
        <f>SUMIF($C$6:$C$35,"Instruction: Property", $E$6:$E$35)</f>
        <v>0</v>
      </c>
    </row>
    <row r="13" spans="1:13" ht="14.4" customHeight="1" x14ac:dyDescent="0.3">
      <c r="A13" s="131"/>
      <c r="B13" s="56"/>
      <c r="C13" s="555"/>
      <c r="D13" s="556"/>
      <c r="E13" s="68"/>
      <c r="H13" s="10"/>
      <c r="I13" s="9"/>
    </row>
    <row r="14" spans="1:13" ht="14.4" customHeight="1" x14ac:dyDescent="0.3">
      <c r="A14" s="132"/>
      <c r="B14" s="58"/>
      <c r="C14" s="559"/>
      <c r="D14" s="560"/>
      <c r="E14" s="67"/>
      <c r="H14" s="8" t="s">
        <v>83</v>
      </c>
      <c r="I14" s="9">
        <f>SUMIF($C$6:$C$35,"Support Services (Student): Salary (Cert./Non Cert.)", $E$6:$E$35)</f>
        <v>0</v>
      </c>
    </row>
    <row r="15" spans="1:13" ht="14.4" customHeight="1" x14ac:dyDescent="0.3">
      <c r="A15" s="131"/>
      <c r="B15" s="56"/>
      <c r="C15" s="555"/>
      <c r="D15" s="556"/>
      <c r="E15" s="68"/>
      <c r="H15" s="8" t="s">
        <v>84</v>
      </c>
      <c r="I15" s="9">
        <f>SUMIF($C$6:$C$35,"Support Services (Student): Benefits (Cert./Non Cert.)", $E$6:$E$35)</f>
        <v>0</v>
      </c>
    </row>
    <row r="16" spans="1:13" x14ac:dyDescent="0.3">
      <c r="A16" s="132"/>
      <c r="B16" s="58"/>
      <c r="C16" s="559"/>
      <c r="D16" s="560"/>
      <c r="E16" s="67"/>
      <c r="H16" s="10" t="s">
        <v>40</v>
      </c>
      <c r="I16" s="9">
        <f>SUMIF($C$6:$C$35,"Support Services (Student): Professional Services", $E$6:$E$35)</f>
        <v>0</v>
      </c>
    </row>
    <row r="17" spans="1:9" x14ac:dyDescent="0.3">
      <c r="A17" s="131"/>
      <c r="B17" s="56"/>
      <c r="C17" s="555"/>
      <c r="D17" s="556"/>
      <c r="E17" s="68"/>
      <c r="H17" s="10" t="s">
        <v>41</v>
      </c>
      <c r="I17" s="9">
        <f>SUMIF($C$6:$C$35,"Support Services (Student): Rentals", $E$6:$E$35)</f>
        <v>0</v>
      </c>
    </row>
    <row r="18" spans="1:9" x14ac:dyDescent="0.3">
      <c r="A18" s="132"/>
      <c r="B18" s="58"/>
      <c r="C18" s="559"/>
      <c r="D18" s="560"/>
      <c r="E18" s="67"/>
      <c r="H18" s="10" t="s">
        <v>42</v>
      </c>
      <c r="I18" s="9">
        <f>SUMIF($C$6:$C$35,"Support Services (Student): Other Purchased Services", $E$6:$E$35)</f>
        <v>0</v>
      </c>
    </row>
    <row r="19" spans="1:9" x14ac:dyDescent="0.3">
      <c r="A19" s="131"/>
      <c r="B19" s="56"/>
      <c r="C19" s="555"/>
      <c r="D19" s="556"/>
      <c r="E19" s="68"/>
      <c r="H19" s="10" t="s">
        <v>43</v>
      </c>
      <c r="I19" s="9">
        <f>SUMIF($C$6:$C$35,"Support Services (Student): General Supplies", $E$6:$E$35)</f>
        <v>0</v>
      </c>
    </row>
    <row r="20" spans="1:9" x14ac:dyDescent="0.3">
      <c r="A20" s="132"/>
      <c r="B20" s="58"/>
      <c r="C20" s="559"/>
      <c r="D20" s="560"/>
      <c r="E20" s="67"/>
      <c r="H20" s="10" t="s">
        <v>44</v>
      </c>
      <c r="I20" s="9">
        <f>SUMIF($C$6:$C$35,"Support Services (Student): Property", $E$6:$E$35)</f>
        <v>0</v>
      </c>
    </row>
    <row r="21" spans="1:9" x14ac:dyDescent="0.3">
      <c r="A21" s="131"/>
      <c r="B21" s="56"/>
      <c r="C21" s="555"/>
      <c r="D21" s="556"/>
      <c r="E21" s="68"/>
      <c r="H21" s="10"/>
      <c r="I21" s="9"/>
    </row>
    <row r="22" spans="1:9" x14ac:dyDescent="0.3">
      <c r="A22" s="132"/>
      <c r="B22" s="58"/>
      <c r="C22" s="559"/>
      <c r="D22" s="560"/>
      <c r="E22" s="67"/>
      <c r="H22" s="8" t="s">
        <v>85</v>
      </c>
      <c r="I22" s="9">
        <f>SUMIF($C$6:$C$35,"Improvement of Instruction: Salary (Cert./Non Cert.)", $E$6:$E$35)</f>
        <v>0</v>
      </c>
    </row>
    <row r="23" spans="1:9" x14ac:dyDescent="0.3">
      <c r="A23" s="131"/>
      <c r="B23" s="56"/>
      <c r="C23" s="555"/>
      <c r="D23" s="556"/>
      <c r="E23" s="68"/>
      <c r="H23" s="8" t="s">
        <v>86</v>
      </c>
      <c r="I23" s="9">
        <f>SUMIF($C$6:$C$35,"Improvement of Instruction: Benefits (Cert./Non Cert.)", $E$6:$E$35)</f>
        <v>0</v>
      </c>
    </row>
    <row r="24" spans="1:9" x14ac:dyDescent="0.3">
      <c r="A24" s="132"/>
      <c r="B24" s="58"/>
      <c r="C24" s="559"/>
      <c r="D24" s="560"/>
      <c r="E24" s="67"/>
      <c r="H24" s="10" t="s">
        <v>45</v>
      </c>
      <c r="I24" s="9">
        <f>SUMIF($C$6:$C$35,"Improvement of Instruction: Professional Services", $E$6:$E$35)</f>
        <v>0</v>
      </c>
    </row>
    <row r="25" spans="1:9" x14ac:dyDescent="0.3">
      <c r="A25" s="131"/>
      <c r="B25" s="56"/>
      <c r="C25" s="555"/>
      <c r="D25" s="556"/>
      <c r="E25" s="68"/>
      <c r="H25" s="10" t="s">
        <v>46</v>
      </c>
      <c r="I25" s="9">
        <f>SUMIF($C$6:$C$35,"Improvement of Instruction: Rentals", $E$6:$E$35)</f>
        <v>0</v>
      </c>
    </row>
    <row r="26" spans="1:9" x14ac:dyDescent="0.3">
      <c r="A26" s="132"/>
      <c r="B26" s="58"/>
      <c r="C26" s="559"/>
      <c r="D26" s="560"/>
      <c r="E26" s="67"/>
      <c r="H26" s="10" t="s">
        <v>47</v>
      </c>
      <c r="I26" s="9">
        <f>SUMIF($C$6:$C$35,"Improvement of Instruction: Other Purchased Services", $E$6:$E$35)</f>
        <v>0</v>
      </c>
    </row>
    <row r="27" spans="1:9" x14ac:dyDescent="0.3">
      <c r="A27" s="131"/>
      <c r="B27" s="56"/>
      <c r="C27" s="555"/>
      <c r="D27" s="556"/>
      <c r="E27" s="68"/>
      <c r="H27" s="10" t="s">
        <v>48</v>
      </c>
      <c r="I27" s="9">
        <f>SUMIF($C$6:$C$35,"Improvement of Instruction: General Supplies", $E$6:$E$35)</f>
        <v>0</v>
      </c>
    </row>
    <row r="28" spans="1:9" x14ac:dyDescent="0.3">
      <c r="A28" s="132"/>
      <c r="B28" s="58"/>
      <c r="C28" s="559"/>
      <c r="D28" s="560"/>
      <c r="E28" s="67"/>
      <c r="H28" s="10" t="s">
        <v>49</v>
      </c>
      <c r="I28" s="9">
        <f>SUMIF($C$6:$C$35,"Improvement of Instruction: Property", $E$6:$E$35)</f>
        <v>0</v>
      </c>
    </row>
    <row r="29" spans="1:9" x14ac:dyDescent="0.3">
      <c r="A29" s="131"/>
      <c r="B29" s="56"/>
      <c r="C29" s="555"/>
      <c r="D29" s="556"/>
      <c r="E29" s="68"/>
      <c r="H29" s="10"/>
      <c r="I29" s="9"/>
    </row>
    <row r="30" spans="1:9" x14ac:dyDescent="0.3">
      <c r="A30" s="132"/>
      <c r="B30" s="58"/>
      <c r="C30" s="559"/>
      <c r="D30" s="560"/>
      <c r="E30" s="67"/>
      <c r="H30" s="8" t="s">
        <v>402</v>
      </c>
      <c r="I30" s="9">
        <f>SUMIF($C$6:$C$35,"Other Support Services-Admin: Salary (Cert./Non Cert.)", $E$6:$E$35)</f>
        <v>0</v>
      </c>
    </row>
    <row r="31" spans="1:9" x14ac:dyDescent="0.3">
      <c r="A31" s="131"/>
      <c r="B31" s="56"/>
      <c r="C31" s="555"/>
      <c r="D31" s="556"/>
      <c r="E31" s="68"/>
      <c r="H31" s="8" t="s">
        <v>403</v>
      </c>
      <c r="I31" s="9">
        <f>SUMIF($C$6:$C$35,"Other Support Services-Admin: Benefits (Cert./Non Cert.)", $E$6:$E$35)</f>
        <v>0</v>
      </c>
    </row>
    <row r="32" spans="1:9" x14ac:dyDescent="0.3">
      <c r="A32" s="132"/>
      <c r="B32" s="58"/>
      <c r="C32" s="559"/>
      <c r="D32" s="560"/>
      <c r="E32" s="67"/>
      <c r="H32" s="10" t="s">
        <v>404</v>
      </c>
      <c r="I32" s="9">
        <f>SUMIF($C$6:$C$35,"Other Support Services-Admin: Professional Services", $E$6:$E$35)</f>
        <v>0</v>
      </c>
    </row>
    <row r="33" spans="1:9" x14ac:dyDescent="0.3">
      <c r="A33" s="131"/>
      <c r="B33" s="56"/>
      <c r="C33" s="555"/>
      <c r="D33" s="556"/>
      <c r="E33" s="68"/>
      <c r="H33" s="10" t="s">
        <v>405</v>
      </c>
      <c r="I33" s="9">
        <f>SUMIF($C$6:$C$35,"Other Support Services-Admin: Rentals", $E$6:$E$35)</f>
        <v>0</v>
      </c>
    </row>
    <row r="34" spans="1:9" x14ac:dyDescent="0.3">
      <c r="A34" s="132"/>
      <c r="B34" s="58"/>
      <c r="C34" s="559"/>
      <c r="D34" s="560"/>
      <c r="E34" s="67"/>
      <c r="H34" s="10" t="s">
        <v>406</v>
      </c>
      <c r="I34" s="9">
        <f>SUMIF($C$6:$C$35,"Other Support Services-Admin: Other Purchased Services", $E$6:$E$35)</f>
        <v>0</v>
      </c>
    </row>
    <row r="35" spans="1:9" ht="15" thickBot="1" x14ac:dyDescent="0.35">
      <c r="A35" s="131"/>
      <c r="B35" s="56"/>
      <c r="C35" s="555"/>
      <c r="D35" s="556"/>
      <c r="E35" s="68"/>
      <c r="H35" s="10" t="s">
        <v>407</v>
      </c>
      <c r="I35" s="9">
        <f>SUMIF($C$6:$C$35,"Other Support Services-Admin: General Supplies", $E$6:$E$35)</f>
        <v>0</v>
      </c>
    </row>
    <row r="36" spans="1:9" ht="14.4" customHeight="1" thickTop="1" x14ac:dyDescent="0.35">
      <c r="A36" s="49"/>
      <c r="B36" s="50"/>
      <c r="C36" s="51"/>
      <c r="D36" s="52" t="s">
        <v>77</v>
      </c>
      <c r="E36" s="163">
        <f>SUM(E6:E35)</f>
        <v>0</v>
      </c>
      <c r="H36" s="10" t="s">
        <v>408</v>
      </c>
      <c r="I36" s="9">
        <f>SUMIF($C$6:$C$35,"Other Support Services-Admin: Property", $E$6:$E$35)</f>
        <v>0</v>
      </c>
    </row>
    <row r="37" spans="1:9" ht="14.4" customHeight="1" x14ac:dyDescent="0.3">
      <c r="A37" s="14"/>
      <c r="B37" s="53"/>
      <c r="C37" s="561" t="s">
        <v>93</v>
      </c>
      <c r="D37" s="562"/>
      <c r="E37" s="164" t="str">
        <f>'Amend#4 Overview'!G14</f>
        <v/>
      </c>
      <c r="H37" s="10"/>
      <c r="I37" s="9"/>
    </row>
    <row r="38" spans="1:9" x14ac:dyDescent="0.3">
      <c r="A38" s="14"/>
      <c r="B38" s="53"/>
      <c r="C38" s="563" t="s">
        <v>400</v>
      </c>
      <c r="D38" s="564"/>
      <c r="E38" s="54" t="str">
        <f>IFERROR(E37-E36,"")</f>
        <v/>
      </c>
      <c r="H38" s="8" t="s">
        <v>87</v>
      </c>
      <c r="I38" s="9">
        <f>SUMIF($C$6:$C$35,"Operations and Maintenance: Salary (Cert./Non Cert.)", $E$6:$E$35)</f>
        <v>0</v>
      </c>
    </row>
    <row r="39" spans="1:9" x14ac:dyDescent="0.3">
      <c r="H39" s="8" t="s">
        <v>88</v>
      </c>
      <c r="I39" s="9">
        <f>SUMIF($C$6:$C$35,"Operations and Maintenance: Benefits (Cert./Non Cert.)", $E$6:$E$35)</f>
        <v>0</v>
      </c>
    </row>
    <row r="40" spans="1:9" x14ac:dyDescent="0.3">
      <c r="H40" s="10" t="s">
        <v>50</v>
      </c>
      <c r="I40" s="9">
        <f>SUMIF($C$6:$C$35,"Operations and Maintenance: Professional Services", $E$6:$E$35)</f>
        <v>0</v>
      </c>
    </row>
    <row r="41" spans="1:9" x14ac:dyDescent="0.3">
      <c r="H41" s="10" t="s">
        <v>51</v>
      </c>
      <c r="I41" s="9">
        <f>SUMIF($C$6:$C$35,"Operations and Maintenance: Rentals", $E$6:$E$35)</f>
        <v>0</v>
      </c>
    </row>
    <row r="42" spans="1:9" x14ac:dyDescent="0.3">
      <c r="H42" s="10" t="s">
        <v>52</v>
      </c>
      <c r="I42" s="9">
        <f>SUMIF($C$6:$C$35,"Operations and Maintenance: Other Purchased Services", $E$6:$E$35)</f>
        <v>0</v>
      </c>
    </row>
    <row r="43" spans="1:9" x14ac:dyDescent="0.3">
      <c r="H43" s="10" t="s">
        <v>53</v>
      </c>
      <c r="I43" s="9">
        <f>SUMIF($C$6:$C$35,"Operations and Maintenance: General Supplies", $E$6:$E$35)</f>
        <v>0</v>
      </c>
    </row>
    <row r="44" spans="1:9" x14ac:dyDescent="0.3">
      <c r="H44" s="10" t="s">
        <v>54</v>
      </c>
      <c r="I44" s="9">
        <f>SUMIF($C$6:$C$35,"Operations and Maintenance: Property", $E$6:$E$35)</f>
        <v>0</v>
      </c>
    </row>
    <row r="45" spans="1:9" x14ac:dyDescent="0.3">
      <c r="H45" s="10"/>
      <c r="I45" s="9"/>
    </row>
    <row r="46" spans="1:9" x14ac:dyDescent="0.3">
      <c r="H46" s="8" t="s">
        <v>89</v>
      </c>
      <c r="I46" s="9">
        <f>SUMIF($C$6:$C$35,"Transportation: Salary (Cert./Non Cert.)", $E$6:$E$35)</f>
        <v>0</v>
      </c>
    </row>
    <row r="47" spans="1:9" x14ac:dyDescent="0.3">
      <c r="H47" s="8" t="s">
        <v>90</v>
      </c>
      <c r="I47" s="9">
        <f>SUMIF($C$6:$C$35,"Transportation: Benefits (Cert./Non Cert.)", $E$6:$E$35)</f>
        <v>0</v>
      </c>
    </row>
    <row r="48" spans="1:9" x14ac:dyDescent="0.3">
      <c r="H48" s="10" t="s">
        <v>55</v>
      </c>
      <c r="I48" s="9">
        <f>SUMIF($C$6:$C$35,"Transportation: Professional Services", $E$6:$E$35)</f>
        <v>0</v>
      </c>
    </row>
    <row r="49" spans="8:9" x14ac:dyDescent="0.3">
      <c r="H49" s="10" t="s">
        <v>56</v>
      </c>
      <c r="I49" s="9">
        <f>SUMIF($C$6:$C$35,"Transportation: Rentals", $E$6:$E$35)</f>
        <v>0</v>
      </c>
    </row>
    <row r="50" spans="8:9" x14ac:dyDescent="0.3">
      <c r="H50" s="10" t="s">
        <v>57</v>
      </c>
      <c r="I50" s="9">
        <f>SUMIF($C$6:$C$35,"Transportation: Other Purchased Services", $E$6:$E$35)</f>
        <v>0</v>
      </c>
    </row>
    <row r="51" spans="8:9" x14ac:dyDescent="0.3">
      <c r="H51" s="10" t="s">
        <v>58</v>
      </c>
      <c r="I51" s="9">
        <f>SUMIF($C$6:$C$35,"Transportation: General Supplies", $E$6:$E$35)</f>
        <v>0</v>
      </c>
    </row>
    <row r="52" spans="8:9" x14ac:dyDescent="0.3">
      <c r="H52" s="10" t="s">
        <v>59</v>
      </c>
      <c r="I52" s="9">
        <f>SUMIF($C$6:$C$35,"Transportation: Property", $E$6:$E$35)</f>
        <v>0</v>
      </c>
    </row>
    <row r="53" spans="8:9" x14ac:dyDescent="0.3">
      <c r="H53" s="10"/>
      <c r="I53" s="9"/>
    </row>
    <row r="54" spans="8:9" x14ac:dyDescent="0.3">
      <c r="H54" s="8" t="s">
        <v>91</v>
      </c>
      <c r="I54" s="9">
        <f>SUMIF($C$6:$C$35,"Community Services Operations: Salary (Cert./Non Cert.)", $E$6:$E$35)</f>
        <v>0</v>
      </c>
    </row>
    <row r="55" spans="8:9" x14ac:dyDescent="0.3">
      <c r="H55" s="8" t="s">
        <v>92</v>
      </c>
      <c r="I55" s="9">
        <f>SUMIF($C$6:$C$35,"Community Services Operations: Benefits (Cert./Non Cert.)", $E$6:$E$35)</f>
        <v>0</v>
      </c>
    </row>
    <row r="56" spans="8:9" x14ac:dyDescent="0.3">
      <c r="H56" s="10" t="s">
        <v>60</v>
      </c>
      <c r="I56" s="9">
        <f>SUMIF($C$6:$C$35,"Community Services Operations: Professional Services", $E$6:$E$35)</f>
        <v>0</v>
      </c>
    </row>
    <row r="57" spans="8:9" x14ac:dyDescent="0.3">
      <c r="H57" s="10" t="s">
        <v>61</v>
      </c>
      <c r="I57" s="9">
        <f>SUMIF($C$6:$C$35,"Community Services Operations: Rentals", $E$6:$E$35)</f>
        <v>0</v>
      </c>
    </row>
    <row r="58" spans="8:9" x14ac:dyDescent="0.3">
      <c r="H58" s="10" t="s">
        <v>62</v>
      </c>
      <c r="I58" s="9">
        <f>SUMIF($C$6:$C$35,"Community Services Operations: Other Purchased Services", $E$6:$E$35)</f>
        <v>0</v>
      </c>
    </row>
    <row r="59" spans="8:9" x14ac:dyDescent="0.3">
      <c r="H59" s="10" t="s">
        <v>63</v>
      </c>
      <c r="I59" s="9">
        <f>SUMIF($C$6:$C$35,"Community Services Operations: General Supplies", $E$6:$E$35)</f>
        <v>0</v>
      </c>
    </row>
    <row r="60" spans="8:9" x14ac:dyDescent="0.3">
      <c r="H60" s="10" t="s">
        <v>64</v>
      </c>
      <c r="I60" s="9">
        <f>SUMIF($C$6:$C$35,"Community Services Operations: Property", $E$6:$E$35)</f>
        <v>0</v>
      </c>
    </row>
    <row r="61" spans="8:9" x14ac:dyDescent="0.3">
      <c r="H61" s="10"/>
      <c r="I61" s="9"/>
    </row>
    <row r="62" spans="8:9" x14ac:dyDescent="0.3">
      <c r="H62" s="11" t="s">
        <v>65</v>
      </c>
      <c r="I62" s="9">
        <f>SUMIF($C$6:$C$35,"Indirect Cost Used", $E$6:$E$35)</f>
        <v>0</v>
      </c>
    </row>
    <row r="63" spans="8:9" x14ac:dyDescent="0.3">
      <c r="H63" s="184"/>
      <c r="I63" s="185"/>
    </row>
    <row r="64" spans="8:9" ht="15.6" x14ac:dyDescent="0.3">
      <c r="H64" s="165" t="s">
        <v>71</v>
      </c>
      <c r="I64" s="54">
        <f>((SUM(I6:I62))-I63)</f>
        <v>0</v>
      </c>
    </row>
    <row r="74" ht="14.4" customHeight="1" x14ac:dyDescent="0.3"/>
  </sheetData>
  <sheetProtection algorithmName="SHA-512" hashValue="GmITkep+7J9jhyT3cfJDg3obw5cLh1ueY2g5f3euO8sReGoloKyXM06EKtQzCTim9FT5g+EAXk+V+ANCHko3dQ==" saltValue="DbfR7INTPc23U42YVhyepQ==" spinCount="100000" sheet="1" objects="1" scenarios="1" selectLockedCells="1"/>
  <mergeCells count="35">
    <mergeCell ref="C8:D8"/>
    <mergeCell ref="A1:I1"/>
    <mergeCell ref="A2:I3"/>
    <mergeCell ref="C5:D5"/>
    <mergeCell ref="C6:D6"/>
    <mergeCell ref="C7:D7"/>
    <mergeCell ref="C20:D20"/>
    <mergeCell ref="C9:D9"/>
    <mergeCell ref="C10:D10"/>
    <mergeCell ref="C11:D11"/>
    <mergeCell ref="C12:D12"/>
    <mergeCell ref="C13:D13"/>
    <mergeCell ref="C14:D14"/>
    <mergeCell ref="C15:D15"/>
    <mergeCell ref="C16:D16"/>
    <mergeCell ref="C17:D17"/>
    <mergeCell ref="C18:D18"/>
    <mergeCell ref="C19:D19"/>
    <mergeCell ref="C32:D32"/>
    <mergeCell ref="C21:D21"/>
    <mergeCell ref="C22:D22"/>
    <mergeCell ref="C23:D23"/>
    <mergeCell ref="C24:D24"/>
    <mergeCell ref="C25:D25"/>
    <mergeCell ref="C26:D26"/>
    <mergeCell ref="C27:D27"/>
    <mergeCell ref="C28:D28"/>
    <mergeCell ref="C29:D29"/>
    <mergeCell ref="C30:D30"/>
    <mergeCell ref="C31:D31"/>
    <mergeCell ref="C33:D33"/>
    <mergeCell ref="C34:D34"/>
    <mergeCell ref="C35:D35"/>
    <mergeCell ref="C37:D37"/>
    <mergeCell ref="C38:D38"/>
  </mergeCells>
  <conditionalFormatting sqref="H6:I63">
    <cfRule type="expression" dxfId="17" priority="4">
      <formula>MOD(ROW(),2)=0</formula>
    </cfRule>
  </conditionalFormatting>
  <conditionalFormatting sqref="E36">
    <cfRule type="cellIs" dxfId="16" priority="1" operator="lessThan">
      <formula>$E$37</formula>
    </cfRule>
    <cfRule type="cellIs" dxfId="15" priority="2" operator="greaterThan">
      <formula>$E$37</formula>
    </cfRule>
    <cfRule type="cellIs" dxfId="14" priority="3" operator="equal">
      <formula>$E$37</formula>
    </cfRule>
  </conditionalFormatting>
  <dataValidations count="3">
    <dataValidation type="list" allowBlank="1" showInputMessage="1" showErrorMessage="1" sqref="B6:B35" xr:uid="{85E264ED-0C3F-40BC-BCE5-0E4D6D6CEFB4}">
      <formula1>"1,2,3, Indirect Cost, Admin"</formula1>
    </dataValidation>
    <dataValidation type="list" allowBlank="1" showInputMessage="1" showErrorMessage="1" promptTitle="Select Budget Category" sqref="C5" xr:uid="{AAA346F0-013E-407E-BE7F-77C6334FA502}">
      <formula1>$H$6:$H$62</formula1>
    </dataValidation>
    <dataValidation type="list" allowBlank="1" showInputMessage="1" showErrorMessage="1" promptTitle="Select Budget Category" sqref="C6:C35" xr:uid="{C4051A83-1C05-44C3-B99E-6368E7AC3188}">
      <formula1>$H$6:$H$63</formula1>
    </dataValidation>
  </dataValidations>
  <hyperlinks>
    <hyperlink ref="C4" location="'Budget Category'!A1" display="Budget Category" xr:uid="{4210CEDF-DB9E-4E1A-ADA9-54F8C2372CD8}"/>
  </hyperlinks>
  <pageMargins left="0.7" right="0.7" top="0.75" bottom="0.75" header="0.3" footer="0.3"/>
  <pageSetup orientation="landscape"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868B6-765C-4946-887D-82AB98E674C3}">
  <sheetPr codeName="Sheet32">
    <tabColor theme="5" tint="0.39997558519241921"/>
  </sheetPr>
  <dimension ref="A1:N30"/>
  <sheetViews>
    <sheetView showGridLines="0" workbookViewId="0">
      <selection activeCell="C4" sqref="C4:D4"/>
    </sheetView>
  </sheetViews>
  <sheetFormatPr defaultColWidth="8.88671875" defaultRowHeight="14.4" x14ac:dyDescent="0.3"/>
  <cols>
    <col min="1" max="1" width="17.44140625" style="78" customWidth="1"/>
    <col min="2" max="2" width="23.88671875" style="78" customWidth="1"/>
    <col min="3" max="3" width="4.6640625" style="78" customWidth="1"/>
    <col min="4" max="4" width="11.88671875" style="78" customWidth="1"/>
    <col min="5" max="5" width="12.33203125" style="78" customWidth="1"/>
    <col min="6" max="6" width="4.88671875" style="78" customWidth="1"/>
    <col min="7" max="7" width="15.88671875" style="78" customWidth="1"/>
    <col min="8" max="8" width="11.88671875" style="78" customWidth="1"/>
    <col min="9" max="9" width="12.109375" style="78" customWidth="1"/>
    <col min="10" max="10" width="11.44140625" style="78" customWidth="1"/>
    <col min="11" max="11" width="12.5546875" style="78" customWidth="1"/>
    <col min="12" max="12" width="14" style="78" customWidth="1"/>
    <col min="13" max="13" width="15" style="78" customWidth="1"/>
    <col min="14" max="16384" width="8.88671875" style="78"/>
  </cols>
  <sheetData>
    <row r="1" spans="1:13" ht="43.2" customHeight="1" x14ac:dyDescent="0.3">
      <c r="A1" s="786" t="s">
        <v>2017</v>
      </c>
      <c r="B1" s="786"/>
      <c r="C1" s="786"/>
      <c r="D1" s="786"/>
      <c r="E1" s="786"/>
      <c r="F1" s="786"/>
      <c r="G1" s="786"/>
      <c r="H1" s="786"/>
      <c r="I1" s="786"/>
      <c r="J1" s="786"/>
      <c r="K1" s="786"/>
      <c r="L1" s="786"/>
      <c r="M1" s="786"/>
    </row>
    <row r="2" spans="1:13" ht="15" customHeight="1" x14ac:dyDescent="0.3">
      <c r="A2" s="565" t="s">
        <v>0</v>
      </c>
      <c r="B2" s="565"/>
      <c r="C2" s="565"/>
      <c r="D2" s="565"/>
      <c r="E2" s="565"/>
      <c r="F2" s="565"/>
      <c r="G2" s="565"/>
      <c r="H2" s="565"/>
      <c r="I2" s="565"/>
      <c r="J2" s="565"/>
      <c r="K2" s="565"/>
      <c r="L2" s="565"/>
      <c r="M2" s="565"/>
    </row>
    <row r="3" spans="1:13" x14ac:dyDescent="0.3">
      <c r="A3" s="566" t="s">
        <v>70</v>
      </c>
      <c r="B3" s="566"/>
      <c r="C3" s="572">
        <v>110</v>
      </c>
      <c r="D3" s="573"/>
      <c r="E3" s="572" t="s">
        <v>1</v>
      </c>
      <c r="F3" s="573"/>
      <c r="G3" s="79" t="s">
        <v>2</v>
      </c>
      <c r="H3" s="79">
        <v>440</v>
      </c>
      <c r="I3" s="79" t="s">
        <v>3</v>
      </c>
      <c r="J3" s="79" t="s">
        <v>4</v>
      </c>
      <c r="K3" s="79" t="s">
        <v>5</v>
      </c>
      <c r="L3" s="79">
        <v>910</v>
      </c>
      <c r="M3" s="233"/>
    </row>
    <row r="4" spans="1:13" ht="14.4" customHeight="1" x14ac:dyDescent="0.3">
      <c r="A4" s="567" t="s">
        <v>6</v>
      </c>
      <c r="B4" s="568" t="s">
        <v>7</v>
      </c>
      <c r="C4" s="569" t="s">
        <v>8</v>
      </c>
      <c r="D4" s="569"/>
      <c r="E4" s="569" t="s">
        <v>9</v>
      </c>
      <c r="F4" s="569"/>
      <c r="G4" s="570" t="s">
        <v>10</v>
      </c>
      <c r="H4" s="570" t="s">
        <v>11</v>
      </c>
      <c r="I4" s="570" t="s">
        <v>12</v>
      </c>
      <c r="J4" s="570" t="s">
        <v>13</v>
      </c>
      <c r="K4" s="570" t="s">
        <v>14</v>
      </c>
      <c r="L4" s="570" t="s">
        <v>15</v>
      </c>
      <c r="M4" s="571" t="s">
        <v>16</v>
      </c>
    </row>
    <row r="5" spans="1:13" ht="27" customHeight="1" x14ac:dyDescent="0.3">
      <c r="A5" s="567"/>
      <c r="B5" s="568"/>
      <c r="C5" s="574" t="s">
        <v>79</v>
      </c>
      <c r="D5" s="575"/>
      <c r="E5" s="574" t="s">
        <v>80</v>
      </c>
      <c r="F5" s="575"/>
      <c r="G5" s="570"/>
      <c r="H5" s="570"/>
      <c r="I5" s="570"/>
      <c r="J5" s="570"/>
      <c r="K5" s="570"/>
      <c r="L5" s="570"/>
      <c r="M5" s="571"/>
    </row>
    <row r="6" spans="1:13" x14ac:dyDescent="0.3">
      <c r="A6" s="81">
        <v>11000</v>
      </c>
      <c r="B6" s="81" t="s">
        <v>17</v>
      </c>
      <c r="C6" s="751">
        <f>'Amend#4 LEA Activities'!I6+'Amend#4 NPS Activities'!H6</f>
        <v>0</v>
      </c>
      <c r="D6" s="752"/>
      <c r="E6" s="751">
        <f>'Amend#4 LEA Activities'!I7+'Amend#4 NPS Activities'!H7</f>
        <v>0</v>
      </c>
      <c r="F6" s="752"/>
      <c r="G6" s="244">
        <f>'Amend#4 LEA Activities'!I8+'Amend#4 NPS Activities'!H8</f>
        <v>0</v>
      </c>
      <c r="H6" s="244">
        <f>'Amend#4 LEA Activities'!I9+'Amend#4 NPS Activities'!H9</f>
        <v>0</v>
      </c>
      <c r="I6" s="244">
        <f>'Amend#4 LEA Activities'!I10+'Amend#4 NPS Activities'!H10</f>
        <v>0</v>
      </c>
      <c r="J6" s="244">
        <f>'Amend#4 LEA Activities'!I11+'Amend#4 NPS Activities'!H11</f>
        <v>0</v>
      </c>
      <c r="K6" s="244">
        <f>'Amend#4 LEA Activities'!I12+'Amend#4 NPS Activities'!H12</f>
        <v>0</v>
      </c>
      <c r="L6" s="244">
        <f>'Amend#4 LEA Activities'!I13+'Amend#4 NPS Activities'!H13</f>
        <v>0</v>
      </c>
      <c r="M6" s="244">
        <f t="shared" ref="M6:M13" si="0">SUM(C6:L6)</f>
        <v>0</v>
      </c>
    </row>
    <row r="7" spans="1:13" x14ac:dyDescent="0.3">
      <c r="A7" s="81">
        <v>21000</v>
      </c>
      <c r="B7" s="81" t="s">
        <v>18</v>
      </c>
      <c r="C7" s="578">
        <f>'Amend#4 LEA Activities'!I14+'Amend#4 NPS Activities'!H14</f>
        <v>0</v>
      </c>
      <c r="D7" s="579"/>
      <c r="E7" s="578">
        <f>'Amend#4 LEA Activities'!I15+'Amend#4 NPS Activities'!H15</f>
        <v>0</v>
      </c>
      <c r="F7" s="579"/>
      <c r="G7" s="82">
        <f>'Amend#4 LEA Activities'!I16+'Amend#4 NPS Activities'!H16</f>
        <v>0</v>
      </c>
      <c r="H7" s="82">
        <f>'Amend#4 LEA Activities'!I17+'Amend#4 NPS Activities'!H17</f>
        <v>0</v>
      </c>
      <c r="I7" s="82">
        <f>'Amend#4 LEA Activities'!I18+'Amend#4 NPS Activities'!H18</f>
        <v>0</v>
      </c>
      <c r="J7" s="82">
        <f>'Amend#4 LEA Activities'!I19+'Amend#4 NPS Activities'!H19</f>
        <v>0</v>
      </c>
      <c r="K7" s="82">
        <f>'Amend#4 LEA Activities'!I20+'Amend#4 NPS Activities'!H20</f>
        <v>0</v>
      </c>
      <c r="L7" s="82">
        <f>'Amend#4 LEA Activities'!I21+'Amend#4 NPS Activities'!H21</f>
        <v>0</v>
      </c>
      <c r="M7" s="82">
        <f t="shared" si="0"/>
        <v>0</v>
      </c>
    </row>
    <row r="8" spans="1:13" x14ac:dyDescent="0.3">
      <c r="A8" s="81">
        <v>22100</v>
      </c>
      <c r="B8" s="81" t="s">
        <v>2066</v>
      </c>
      <c r="C8" s="751">
        <f>'Amend#4 LEA Activities'!I22+'Amend#4 NPS Activities'!H22</f>
        <v>0</v>
      </c>
      <c r="D8" s="752"/>
      <c r="E8" s="751">
        <f>'Amend#4 LEA Activities'!I23+'Amend#4 NPS Activities'!H23</f>
        <v>0</v>
      </c>
      <c r="F8" s="752"/>
      <c r="G8" s="244">
        <f>'Amend#4 LEA Activities'!I24+'Amend#4 NPS Activities'!H24</f>
        <v>0</v>
      </c>
      <c r="H8" s="244">
        <f>'Amend#4 LEA Activities'!I25+'Amend#4 NPS Activities'!H25</f>
        <v>0</v>
      </c>
      <c r="I8" s="244">
        <f>'Amend#4 LEA Activities'!I26+'Amend#4 NPS Activities'!H26</f>
        <v>0</v>
      </c>
      <c r="J8" s="244">
        <f>'Amend#4 LEA Activities'!I27+'Amend#4 NPS Activities'!H27</f>
        <v>0</v>
      </c>
      <c r="K8" s="244">
        <f>'Amend#4 LEA Activities'!I28+'Amend#4 NPS Activities'!H28</f>
        <v>0</v>
      </c>
      <c r="L8" s="244">
        <f>'Amend#4 LEA Activities'!I29+'Amend#4 NPS Activities'!H29</f>
        <v>0</v>
      </c>
      <c r="M8" s="244">
        <f t="shared" si="0"/>
        <v>0</v>
      </c>
    </row>
    <row r="9" spans="1:13" ht="27.6" x14ac:dyDescent="0.3">
      <c r="A9" s="83">
        <v>22900</v>
      </c>
      <c r="B9" s="81" t="s">
        <v>28</v>
      </c>
      <c r="C9" s="578">
        <f>'Amend#4 LEA Activities'!I30+'Amend#4 NPS Activities'!H30</f>
        <v>0</v>
      </c>
      <c r="D9" s="579"/>
      <c r="E9" s="578">
        <f>'Amend#4 LEA Activities'!I31+'Amend#4 NPS Activities'!H31</f>
        <v>0</v>
      </c>
      <c r="F9" s="579"/>
      <c r="G9" s="82">
        <f>'Amend#4 LEA Activities'!I32+'Amend#4 NPS Activities'!H32</f>
        <v>0</v>
      </c>
      <c r="H9" s="82">
        <f>'Amend#4 LEA Activities'!I33+'Amend#4 NPS Activities'!H33</f>
        <v>0</v>
      </c>
      <c r="I9" s="82">
        <f>'Amend#4 LEA Activities'!I34+'Amend#4 NPS Activities'!H34</f>
        <v>0</v>
      </c>
      <c r="J9" s="82">
        <f>'Amend#4 LEA Activities'!I35+'Amend#4 NPS Activities'!H35</f>
        <v>0</v>
      </c>
      <c r="K9" s="82">
        <f>'Amend#4 LEA Activities'!I36+'Amend#4 NPS Activities'!H36</f>
        <v>0</v>
      </c>
      <c r="L9" s="82">
        <f>'Amend#4 LEA Activities'!I37+'Amend#4 NPS Activities'!H37</f>
        <v>0</v>
      </c>
      <c r="M9" s="82">
        <f t="shared" si="0"/>
        <v>0</v>
      </c>
    </row>
    <row r="10" spans="1:13" x14ac:dyDescent="0.3">
      <c r="A10" s="83">
        <v>25191</v>
      </c>
      <c r="B10" s="81" t="s">
        <v>19</v>
      </c>
      <c r="C10" s="751"/>
      <c r="D10" s="752"/>
      <c r="E10" s="751"/>
      <c r="F10" s="752"/>
      <c r="G10" s="244"/>
      <c r="H10" s="244"/>
      <c r="I10" s="244"/>
      <c r="J10" s="244"/>
      <c r="K10" s="244"/>
      <c r="L10" s="244"/>
      <c r="M10" s="244">
        <f t="shared" si="0"/>
        <v>0</v>
      </c>
    </row>
    <row r="11" spans="1:13" x14ac:dyDescent="0.3">
      <c r="A11" s="83">
        <v>26000</v>
      </c>
      <c r="B11" s="81" t="s">
        <v>20</v>
      </c>
      <c r="C11" s="578">
        <f>'Amend#4 LEA Activities'!I38+'Amend#4 NPS Activities'!H38</f>
        <v>0</v>
      </c>
      <c r="D11" s="579"/>
      <c r="E11" s="578">
        <f>'Amend#4 LEA Activities'!I39+'Amend#4 NPS Activities'!H39</f>
        <v>0</v>
      </c>
      <c r="F11" s="579"/>
      <c r="G11" s="82">
        <f>'Amend#4 LEA Activities'!I40+'Amend#4 NPS Activities'!H40</f>
        <v>0</v>
      </c>
      <c r="H11" s="82">
        <f>'Amend#4 LEA Activities'!I41+'Amend#4 NPS Activities'!H41</f>
        <v>0</v>
      </c>
      <c r="I11" s="82">
        <f>'Amend#4 LEA Activities'!I42+'Amend#4 NPS Activities'!H42</f>
        <v>0</v>
      </c>
      <c r="J11" s="82">
        <f>'Amend#4 LEA Activities'!I43+'Amend#4 NPS Activities'!H43</f>
        <v>0</v>
      </c>
      <c r="K11" s="82">
        <f>'Amend#4 LEA Activities'!I44+'Amend#4 NPS Activities'!H44</f>
        <v>0</v>
      </c>
      <c r="L11" s="82">
        <f>'Amend#4 LEA Activities'!I45+'Amend#4 NPS Activities'!H45</f>
        <v>0</v>
      </c>
      <c r="M11" s="82">
        <f t="shared" si="0"/>
        <v>0</v>
      </c>
    </row>
    <row r="12" spans="1:13" x14ac:dyDescent="0.3">
      <c r="A12" s="81">
        <v>27000</v>
      </c>
      <c r="B12" s="81" t="s">
        <v>21</v>
      </c>
      <c r="C12" s="751">
        <f>'Amend#4 LEA Activities'!I46+'Amend#4 NPS Activities'!H46</f>
        <v>0</v>
      </c>
      <c r="D12" s="752"/>
      <c r="E12" s="751">
        <f>'Amend#4 LEA Activities'!I47+'Amend#4 NPS Activities'!H47</f>
        <v>0</v>
      </c>
      <c r="F12" s="752"/>
      <c r="G12" s="244">
        <f>'Amend#4 LEA Activities'!I48+'Amend#4 NPS Activities'!H48</f>
        <v>0</v>
      </c>
      <c r="H12" s="244">
        <f>'Amend#4 LEA Activities'!I49+'Amend#4 NPS Activities'!H49</f>
        <v>0</v>
      </c>
      <c r="I12" s="244">
        <f>'Amend#4 LEA Activities'!I50+'Amend#4 NPS Activities'!H50</f>
        <v>0</v>
      </c>
      <c r="J12" s="244">
        <f>'Amend#4 LEA Activities'!I51+'Amend#4 NPS Activities'!H51</f>
        <v>0</v>
      </c>
      <c r="K12" s="244">
        <f>'Amend#4 LEA Activities'!I52+'Amend#4 NPS Activities'!H52</f>
        <v>0</v>
      </c>
      <c r="L12" s="244">
        <f>'Amend#4 LEA Activities'!I53+'Amend#4 NPS Activities'!H53</f>
        <v>0</v>
      </c>
      <c r="M12" s="244">
        <f t="shared" si="0"/>
        <v>0</v>
      </c>
    </row>
    <row r="13" spans="1:13" ht="27.6" x14ac:dyDescent="0.3">
      <c r="A13" s="81">
        <v>33000</v>
      </c>
      <c r="B13" s="81" t="s">
        <v>22</v>
      </c>
      <c r="C13" s="578">
        <f>'Amend#4 LEA Activities'!I54+'Amend#4 NPS Activities'!H54</f>
        <v>0</v>
      </c>
      <c r="D13" s="579"/>
      <c r="E13" s="578">
        <f>'Amend#4 LEA Activities'!I55+'Amend#4 NPS Activities'!H55</f>
        <v>0</v>
      </c>
      <c r="F13" s="579"/>
      <c r="G13" s="82">
        <f>'Amend#4 LEA Activities'!I56+'Amend#4 NPS Activities'!H56</f>
        <v>0</v>
      </c>
      <c r="H13" s="82">
        <f>'Amend#4 LEA Activities'!I57+'Amend#4 NPS Activities'!H57</f>
        <v>0</v>
      </c>
      <c r="I13" s="82">
        <f>'Amend#4 LEA Activities'!I58+'Amend#4 NPS Activities'!H58</f>
        <v>0</v>
      </c>
      <c r="J13" s="82">
        <f>'Amend#4 LEA Activities'!I59+'Amend#4 NPS Activities'!H59</f>
        <v>0</v>
      </c>
      <c r="K13" s="82">
        <f>'Amend#4 LEA Activities'!I60+'Amend#4 NPS Activities'!H60</f>
        <v>0</v>
      </c>
      <c r="L13" s="82">
        <f>'Amend#4 LEA Activities'!I61+'Amend#4 NPS Activities'!H61</f>
        <v>0</v>
      </c>
      <c r="M13" s="82">
        <f t="shared" si="0"/>
        <v>0</v>
      </c>
    </row>
    <row r="14" spans="1:13" x14ac:dyDescent="0.3">
      <c r="A14" s="192"/>
      <c r="B14" s="192"/>
      <c r="C14" s="731"/>
      <c r="D14" s="732"/>
      <c r="E14" s="731"/>
      <c r="F14" s="732"/>
      <c r="G14" s="193"/>
      <c r="H14" s="193"/>
      <c r="I14" s="193"/>
      <c r="J14" s="193"/>
      <c r="K14" s="193"/>
      <c r="L14" s="194"/>
      <c r="M14" s="194"/>
    </row>
    <row r="15" spans="1:13" x14ac:dyDescent="0.3">
      <c r="A15" s="233"/>
      <c r="B15" s="85" t="s">
        <v>23</v>
      </c>
      <c r="C15" s="578">
        <f t="shared" ref="C15:L15" si="1">SUM(C6:C14)</f>
        <v>0</v>
      </c>
      <c r="D15" s="579"/>
      <c r="E15" s="578">
        <f t="shared" si="1"/>
        <v>0</v>
      </c>
      <c r="F15" s="579"/>
      <c r="G15" s="82">
        <f>SUM(G6:G14)</f>
        <v>0</v>
      </c>
      <c r="H15" s="82">
        <f>SUM(H6:H14)</f>
        <v>0</v>
      </c>
      <c r="I15" s="82">
        <f>SUM(I6:I14)</f>
        <v>0</v>
      </c>
      <c r="J15" s="82">
        <f t="shared" si="1"/>
        <v>0</v>
      </c>
      <c r="K15" s="82">
        <f t="shared" si="1"/>
        <v>0</v>
      </c>
      <c r="L15" s="82">
        <f t="shared" si="1"/>
        <v>0</v>
      </c>
      <c r="M15" s="86">
        <f>((SUM(M6:M14)-L15))</f>
        <v>0</v>
      </c>
    </row>
    <row r="16" spans="1:13" ht="15" thickBot="1" x14ac:dyDescent="0.35">
      <c r="A16" s="168"/>
      <c r="B16" s="169"/>
      <c r="C16" s="580"/>
      <c r="D16" s="581"/>
      <c r="E16" s="580"/>
      <c r="F16" s="581"/>
      <c r="G16" s="170"/>
      <c r="H16" s="171"/>
      <c r="I16" s="171"/>
      <c r="J16" s="171"/>
      <c r="K16" s="171"/>
      <c r="L16" s="172" t="s">
        <v>29</v>
      </c>
      <c r="M16" s="172">
        <f>SUM(M6:M14)</f>
        <v>0</v>
      </c>
    </row>
    <row r="17" spans="1:14" x14ac:dyDescent="0.3">
      <c r="A17" s="584" t="s">
        <v>67</v>
      </c>
      <c r="B17" s="585"/>
      <c r="C17" s="585"/>
      <c r="D17" s="585"/>
      <c r="E17" s="585"/>
      <c r="F17" s="585"/>
      <c r="G17" s="585"/>
      <c r="H17" s="585"/>
      <c r="I17" s="585"/>
      <c r="J17" s="585"/>
      <c r="K17" s="585"/>
      <c r="L17" s="586"/>
      <c r="M17" s="167">
        <f>'Amend#4 LEA Activities'!I64</f>
        <v>0</v>
      </c>
    </row>
    <row r="18" spans="1:14" x14ac:dyDescent="0.3">
      <c r="A18" s="88"/>
      <c r="B18" s="89"/>
      <c r="C18" s="89"/>
      <c r="D18" s="89"/>
      <c r="E18" s="89"/>
      <c r="F18" s="89"/>
      <c r="G18" s="89"/>
      <c r="H18" s="89"/>
      <c r="I18" s="89"/>
      <c r="J18" s="89"/>
      <c r="K18" s="89"/>
      <c r="L18" s="180" t="s">
        <v>2003</v>
      </c>
      <c r="M18" s="87">
        <f>'Amend#4 NPS Activities'!H64</f>
        <v>0</v>
      </c>
    </row>
    <row r="19" spans="1:14" x14ac:dyDescent="0.3">
      <c r="A19" s="174" t="s">
        <v>72</v>
      </c>
      <c r="B19" s="582">
        <f>'Amend#3 Main Budget'!B19</f>
        <v>0</v>
      </c>
      <c r="C19" s="583"/>
      <c r="D19" s="576" t="s">
        <v>24</v>
      </c>
      <c r="E19" s="576"/>
      <c r="F19" s="576"/>
      <c r="G19" s="576"/>
      <c r="H19" s="576"/>
      <c r="I19" s="576"/>
      <c r="J19" s="576"/>
      <c r="K19" s="576"/>
      <c r="L19" s="576"/>
      <c r="M19" s="153"/>
    </row>
    <row r="20" spans="1:14" x14ac:dyDescent="0.3">
      <c r="A20" s="577" t="s">
        <v>25</v>
      </c>
      <c r="B20" s="577"/>
      <c r="C20" s="577"/>
      <c r="D20" s="577"/>
      <c r="E20" s="577"/>
      <c r="F20" s="577"/>
      <c r="G20" s="577"/>
      <c r="H20" s="577"/>
      <c r="I20" s="577"/>
      <c r="J20" s="577"/>
      <c r="K20" s="577"/>
      <c r="L20" s="577"/>
      <c r="M20" s="90">
        <f>SUM(M16,M19)-K15</f>
        <v>0</v>
      </c>
    </row>
    <row r="21" spans="1:14" x14ac:dyDescent="0.3">
      <c r="A21" s="577" t="s">
        <v>26</v>
      </c>
      <c r="B21" s="577"/>
      <c r="C21" s="577"/>
      <c r="D21" s="577"/>
      <c r="E21" s="577"/>
      <c r="F21" s="577"/>
      <c r="G21" s="577"/>
      <c r="H21" s="577"/>
      <c r="I21" s="577"/>
      <c r="J21" s="577"/>
      <c r="K21" s="577"/>
      <c r="L21" s="577"/>
      <c r="M21" s="87">
        <f>ROUND((B19/100)*M20,2)</f>
        <v>0</v>
      </c>
    </row>
    <row r="22" spans="1:14" x14ac:dyDescent="0.3">
      <c r="A22" s="577" t="s">
        <v>27</v>
      </c>
      <c r="B22" s="577"/>
      <c r="C22" s="577"/>
      <c r="D22" s="577"/>
      <c r="E22" s="577"/>
      <c r="F22" s="577"/>
      <c r="G22" s="577"/>
      <c r="H22" s="577"/>
      <c r="I22" s="577"/>
      <c r="J22" s="577"/>
      <c r="K22" s="577"/>
      <c r="L22" s="577"/>
      <c r="M22" s="173">
        <f>'Amend#4 LEA Activities'!I62+'Amend#4 NPS Activities'!H62</f>
        <v>0</v>
      </c>
    </row>
    <row r="23" spans="1:14" x14ac:dyDescent="0.3">
      <c r="A23" s="91"/>
      <c r="B23" s="91"/>
      <c r="C23" s="91"/>
      <c r="D23" s="91"/>
      <c r="E23" s="91"/>
      <c r="F23" s="91"/>
      <c r="G23" s="91"/>
      <c r="H23" s="91"/>
      <c r="I23" s="91"/>
      <c r="J23" s="91"/>
      <c r="K23" s="91"/>
      <c r="L23" s="91" t="s">
        <v>2012</v>
      </c>
      <c r="M23" s="87">
        <f>SUM(C9:L9)</f>
        <v>0</v>
      </c>
    </row>
    <row r="24" spans="1:14" x14ac:dyDescent="0.3">
      <c r="A24" s="595" t="s">
        <v>73</v>
      </c>
      <c r="B24" s="595"/>
      <c r="C24" s="595"/>
      <c r="D24" s="595"/>
      <c r="E24" s="595"/>
      <c r="F24" s="595"/>
      <c r="G24" s="595"/>
      <c r="H24" s="595"/>
      <c r="I24" s="595"/>
      <c r="J24" s="595"/>
      <c r="K24" s="595"/>
      <c r="L24" s="595"/>
      <c r="M24" s="86">
        <f>M16+M22</f>
        <v>0</v>
      </c>
      <c r="N24" s="181" t="e">
        <f>'Amend#4 Overview'!G13+G14</f>
        <v>#VALUE!</v>
      </c>
    </row>
    <row r="25" spans="1:14" ht="15.6" x14ac:dyDescent="0.3">
      <c r="A25" s="234"/>
      <c r="B25" s="234"/>
      <c r="C25" s="234"/>
      <c r="D25" s="234"/>
      <c r="E25" s="234"/>
      <c r="F25" s="234"/>
      <c r="G25" s="234"/>
      <c r="H25" s="93"/>
      <c r="I25" s="93"/>
      <c r="J25" s="93"/>
      <c r="K25" s="93"/>
      <c r="L25" s="93"/>
      <c r="M25" s="94"/>
    </row>
    <row r="26" spans="1:14" ht="16.2" customHeight="1" x14ac:dyDescent="0.3">
      <c r="A26" s="594" t="s">
        <v>147</v>
      </c>
      <c r="B26" s="594"/>
      <c r="C26" s="594"/>
      <c r="D26" s="594"/>
      <c r="E26" s="594"/>
      <c r="F26" s="594"/>
      <c r="G26" s="95" t="s">
        <v>31</v>
      </c>
      <c r="H26" s="96" t="s">
        <v>74</v>
      </c>
      <c r="I26" s="97"/>
      <c r="J26" s="98"/>
    </row>
    <row r="27" spans="1:14" ht="22.95" customHeight="1" x14ac:dyDescent="0.3">
      <c r="A27" s="588" t="s">
        <v>144</v>
      </c>
      <c r="B27" s="589"/>
      <c r="C27" s="589"/>
      <c r="D27" s="589"/>
      <c r="E27" s="589"/>
      <c r="F27" s="590"/>
      <c r="G27" s="99">
        <f>SUMIF('Amend#4 LEA Activities'!B6:B35,"1",'Amend#4 LEA Activities'!E6:E35)</f>
        <v>0</v>
      </c>
      <c r="H27" s="277" t="str">
        <f>IFERROR(SUM(G27/Overview!G14),"")</f>
        <v/>
      </c>
      <c r="I27" s="101"/>
      <c r="J27" s="102"/>
    </row>
    <row r="28" spans="1:14" ht="20.399999999999999" customHeight="1" x14ac:dyDescent="0.3">
      <c r="A28" s="591" t="s">
        <v>145</v>
      </c>
      <c r="B28" s="592"/>
      <c r="C28" s="592"/>
      <c r="D28" s="592"/>
      <c r="E28" s="592"/>
      <c r="F28" s="593"/>
      <c r="G28" s="99">
        <f>SUMIF('Amend#4 LEA Activities'!B6:B35,"2",'Amend#4 LEA Activities'!E6:E35)</f>
        <v>0</v>
      </c>
      <c r="H28" s="277" t="str">
        <f>IFERROR(SUM(G28/Overview!G14),"")</f>
        <v/>
      </c>
      <c r="I28" s="101"/>
      <c r="J28" s="102"/>
    </row>
    <row r="29" spans="1:14" ht="21" customHeight="1" x14ac:dyDescent="0.3">
      <c r="A29" s="591" t="s">
        <v>146</v>
      </c>
      <c r="B29" s="592"/>
      <c r="C29" s="592"/>
      <c r="D29" s="592"/>
      <c r="E29" s="592"/>
      <c r="F29" s="593"/>
      <c r="G29" s="99">
        <f>SUMIF('Amend#4 LEA Activities'!B6:B35,"3",'Amend#4 LEA Activities'!E6:E35)</f>
        <v>0</v>
      </c>
      <c r="H29" s="277" t="str">
        <f>IFERROR(SUM(G29/Overview!G14),"")</f>
        <v/>
      </c>
      <c r="I29" s="101"/>
      <c r="J29" s="102"/>
      <c r="K29" s="596"/>
      <c r="L29" s="596"/>
      <c r="M29" s="103"/>
    </row>
    <row r="30" spans="1:14" ht="22.95" customHeight="1" x14ac:dyDescent="0.3">
      <c r="A30" s="104"/>
      <c r="B30" s="104"/>
      <c r="C30" s="104"/>
      <c r="D30" s="587"/>
      <c r="E30" s="587"/>
      <c r="F30" s="587"/>
      <c r="G30" s="587"/>
      <c r="H30" s="105"/>
      <c r="I30" s="105"/>
      <c r="J30" s="106"/>
      <c r="K30" s="596"/>
      <c r="L30" s="596"/>
      <c r="M30" s="103"/>
    </row>
  </sheetData>
  <sheetProtection algorithmName="SHA-512" hashValue="T1yArk2vFADqyXNXh2nF/GL0I3+Ubn91Lmf7zdNAKgnlHV2Yqpy1MlZyTOFBgNx8JMbTkC9AKvvQd14UVwjRHw==" saltValue="FfqAVrvGZTe+7L/5Hv3iOA==" spinCount="100000" sheet="1" objects="1" scenarios="1" selectLockedCells="1"/>
  <protectedRanges>
    <protectedRange algorithmName="SHA-512" hashValue="3b95bpvQjq0s58Os8PVjtFd5QufcRL5YDzBpab6JTWdhNWE+3Sew372NYJC9LyYwHdiLoG9+E1URQ/9gXw6M2g==" saltValue="Dc4ubrENfJ1JzZRbwmxr1Q==" spinCount="100000" sqref="M30" name="Infrastructure"/>
    <protectedRange algorithmName="SHA-512" hashValue="3b95bpvQjq0s58Os8PVjtFd5QufcRL5YDzBpab6JTWdhNWE+3Sew372NYJC9LyYwHdiLoG9+E1URQ/9gXw6M2g==" saltValue="Dc4ubrENfJ1JzZRbwmxr1Q==" spinCount="100000" sqref="M29" name="Infrastructure_1"/>
    <protectedRange algorithmName="SHA-512" hashValue="VE+MMm4Tq2imO0b4cCfe/GLwo5/uojngjNFtz+gAM1c2BDwWuP/m5dHuk50rv/zQxkG1QadmD2mIZxE45SDDjQ==" saltValue="ZVp3gHcNtMIFaeXScHwgTQ==" spinCount="100000" sqref="G27:G29" name="Focus Area_1"/>
    <protectedRange algorithmName="SHA-512" hashValue="gmWeISesQPMhzvPqYovgcN9UEgd0Qz9m7L2OL3iTpt69X/6n0UP292d1N3RSvpGgIGeqEyqzc55mwxngwvAePw==" saltValue="fYwuXBuj4dlAVNgmXMHXmA==" spinCount="100000" sqref="M15 C14:K14 M6:M13" name="Main Budget_2"/>
    <protectedRange algorithmName="SHA-512" hashValue="gmWeISesQPMhzvPqYovgcN9UEgd0Qz9m7L2OL3iTpt69X/6n0UP292d1N3RSvpGgIGeqEyqzc55mwxngwvAePw==" saltValue="fYwuXBuj4dlAVNgmXMHXmA==" spinCount="100000" sqref="L14:M14" name="Main Budget_1_1"/>
    <protectedRange algorithmName="SHA-512" hashValue="g94kMd79A/YYd0ADBad8mZMcZU2dwwfpSMxsE13ATz7R3GZjHsJQKg4bX2Qxb4n3xtTTwh/jVE9u2bu0jJr3Pg==" saltValue="iPGkUWOUuB1Ny8MQAQGXzg==" spinCount="100000" sqref="M21:M24" name="Totals_3_1"/>
    <protectedRange algorithmName="SHA-512" hashValue="g94kMd79A/YYd0ADBad8mZMcZU2dwwfpSMxsE13ATz7R3GZjHsJQKg4bX2Qxb4n3xtTTwh/jVE9u2bu0jJr3Pg==" saltValue="iPGkUWOUuB1Ny8MQAQGXzg==" spinCount="100000" sqref="M20" name="Totals_4"/>
    <protectedRange algorithmName="SHA-512" hashValue="gmWeISesQPMhzvPqYovgcN9UEgd0Qz9m7L2OL3iTpt69X/6n0UP292d1N3RSvpGgIGeqEyqzc55mwxngwvAePw==" saltValue="fYwuXBuj4dlAVNgmXMHXmA==" spinCount="100000" sqref="G6:L13" name="Main Budget_3"/>
    <protectedRange algorithmName="SHA-512" hashValue="gmWeISesQPMhzvPqYovgcN9UEgd0Qz9m7L2OL3iTpt69X/6n0UP292d1N3RSvpGgIGeqEyqzc55mwxngwvAePw==" saltValue="fYwuXBuj4dlAVNgmXMHXmA==" spinCount="100000" sqref="C6:D13" name="Main Budget_4"/>
    <protectedRange algorithmName="SHA-512" hashValue="gmWeISesQPMhzvPqYovgcN9UEgd0Qz9m7L2OL3iTpt69X/6n0UP292d1N3RSvpGgIGeqEyqzc55mwxngwvAePw==" saltValue="fYwuXBuj4dlAVNgmXMHXmA==" spinCount="100000" sqref="E6:F13" name="Main Budget_1_2"/>
    <protectedRange algorithmName="SHA-512" hashValue="gmWeISesQPMhzvPqYovgcN9UEgd0Qz9m7L2OL3iTpt69X/6n0UP292d1N3RSvpGgIGeqEyqzc55mwxngwvAePw==" saltValue="fYwuXBuj4dlAVNgmXMHXmA==" spinCount="100000" sqref="C15:L15" name="Main Budget_2_1"/>
  </protectedRanges>
  <mergeCells count="54">
    <mergeCell ref="M4:M5"/>
    <mergeCell ref="A1:M1"/>
    <mergeCell ref="A2:M2"/>
    <mergeCell ref="A3:B3"/>
    <mergeCell ref="C3:D3"/>
    <mergeCell ref="E3:F3"/>
    <mergeCell ref="A4:A5"/>
    <mergeCell ref="B4:B5"/>
    <mergeCell ref="C4:D4"/>
    <mergeCell ref="E4:F4"/>
    <mergeCell ref="G4:G5"/>
    <mergeCell ref="H4:H5"/>
    <mergeCell ref="I4:I5"/>
    <mergeCell ref="J4:J5"/>
    <mergeCell ref="K4:K5"/>
    <mergeCell ref="L4:L5"/>
    <mergeCell ref="C5:D5"/>
    <mergeCell ref="E5:F5"/>
    <mergeCell ref="C6:D6"/>
    <mergeCell ref="E6:F6"/>
    <mergeCell ref="C7:D7"/>
    <mergeCell ref="E7:F7"/>
    <mergeCell ref="C8:D8"/>
    <mergeCell ref="E8:F8"/>
    <mergeCell ref="C9:D9"/>
    <mergeCell ref="E9:F9"/>
    <mergeCell ref="C10:D10"/>
    <mergeCell ref="E10:F10"/>
    <mergeCell ref="C11:D11"/>
    <mergeCell ref="E11:F11"/>
    <mergeCell ref="C12:D12"/>
    <mergeCell ref="E12:F12"/>
    <mergeCell ref="C13:D13"/>
    <mergeCell ref="E13:F13"/>
    <mergeCell ref="A22:L22"/>
    <mergeCell ref="C14:D14"/>
    <mergeCell ref="E14:F14"/>
    <mergeCell ref="C15:D15"/>
    <mergeCell ref="E15:F15"/>
    <mergeCell ref="C16:D16"/>
    <mergeCell ref="E16:F16"/>
    <mergeCell ref="A17:L17"/>
    <mergeCell ref="B19:C19"/>
    <mergeCell ref="D19:L19"/>
    <mergeCell ref="A20:L20"/>
    <mergeCell ref="A21:L21"/>
    <mergeCell ref="D30:G30"/>
    <mergeCell ref="K30:L30"/>
    <mergeCell ref="A24:L24"/>
    <mergeCell ref="A26:F26"/>
    <mergeCell ref="A27:F27"/>
    <mergeCell ref="A28:F28"/>
    <mergeCell ref="A29:F29"/>
    <mergeCell ref="K29:L29"/>
  </mergeCells>
  <conditionalFormatting sqref="M22">
    <cfRule type="expression" dxfId="13" priority="24">
      <formula>$M$22&lt;=$M$21</formula>
    </cfRule>
  </conditionalFormatting>
  <conditionalFormatting sqref="M22">
    <cfRule type="expression" dxfId="12" priority="26">
      <formula>$M$22&gt;$M$21</formula>
    </cfRule>
  </conditionalFormatting>
  <conditionalFormatting sqref="B8">
    <cfRule type="expression" dxfId="11" priority="1">
      <formula>MOD(ROW(),2)=0</formula>
    </cfRule>
  </conditionalFormatting>
  <hyperlinks>
    <hyperlink ref="A3:B3" location="'Budget Category'!A1" display="Object Code" xr:uid="{36B16203-A93C-4C3A-BBAB-3DD6D04FEDDA}"/>
  </hyperlinks>
  <pageMargins left="0.7" right="0.7" top="0.75" bottom="0.75" header="0.3" footer="0.3"/>
  <pageSetup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23" id="{4A825916-31FC-4488-80C9-633D56781875}">
            <xm:f>$M$23&lt;=Overview!I15</xm:f>
            <x14:dxf>
              <fill>
                <patternFill>
                  <bgColor rgb="FF92D050"/>
                </patternFill>
              </fill>
            </x14:dxf>
          </x14:cfRule>
          <x14:cfRule type="expression" priority="25" id="{E9B157B1-E274-414D-8036-2261834A5A5C}">
            <xm:f>$M$23&gt;Overview!I15</xm:f>
            <x14:dxf>
              <font>
                <b/>
                <i val="0"/>
                <color theme="0"/>
              </font>
              <fill>
                <patternFill>
                  <bgColor rgb="FFFF0000"/>
                </patternFill>
              </fill>
            </x14:dxf>
          </x14:cfRule>
          <xm:sqref>M23</xm:sqref>
        </x14:conditionalFormatting>
        <x14:conditionalFormatting xmlns:xm="http://schemas.microsoft.com/office/excel/2006/main">
          <x14:cfRule type="expression" priority="21" id="{90E48208-C5C7-4219-B9B2-76A6C9EA69CD}">
            <xm:f>$M$18='Amend#4 Equitable Share'!K56</xm:f>
            <x14:dxf>
              <fill>
                <patternFill>
                  <bgColor rgb="FF92D050"/>
                </patternFill>
              </fill>
            </x14:dxf>
          </x14:cfRule>
          <x14:cfRule type="expression" priority="22" id="{41D24963-FD83-40D4-9657-5E7BD88D5B4E}">
            <xm:f>$M$18&lt;&gt;'Amend#4 Equitable Share'!K56</xm:f>
            <x14:dxf>
              <fill>
                <patternFill>
                  <bgColor rgb="FFFF0000"/>
                </patternFill>
              </fill>
            </x14:dxf>
          </x14:cfRule>
          <xm:sqref>M18</xm:sqref>
        </x14:conditionalFormatting>
        <x14:conditionalFormatting xmlns:xm="http://schemas.microsoft.com/office/excel/2006/main">
          <x14:cfRule type="expression" priority="19" id="{E4BB7270-A04E-4CF1-90B5-4C2DE005977F}">
            <xm:f>$M$24&lt;&gt;'Amend#4 Overview'!$G$12</xm:f>
            <x14:dxf>
              <fill>
                <patternFill>
                  <bgColor rgb="FFFF0000"/>
                </patternFill>
              </fill>
            </x14:dxf>
          </x14:cfRule>
          <x14:cfRule type="expression" priority="20" id="{F5F53BEA-FD08-403C-873C-C3AD49D74C0B}">
            <xm:f>$M$24='Amend#4 Overview'!$G$12</xm:f>
            <x14:dxf>
              <fill>
                <patternFill>
                  <bgColor rgb="FF92D050"/>
                </patternFill>
              </fill>
            </x14:dxf>
          </x14:cfRule>
          <xm:sqref>M24</xm:sqref>
        </x14:conditionalFormatting>
        <x14:conditionalFormatting xmlns:xm="http://schemas.microsoft.com/office/excel/2006/main">
          <x14:cfRule type="expression" priority="17" id="{0C86706F-E800-4BE1-890E-A15DAA651514}">
            <xm:f>$M$17='Amend#4 Overview'!G14</xm:f>
            <x14:dxf>
              <fill>
                <patternFill>
                  <bgColor rgb="FF92D050"/>
                </patternFill>
              </fill>
            </x14:dxf>
          </x14:cfRule>
          <x14:cfRule type="expression" priority="18" id="{DED1AB61-8403-4B9B-9725-7F569A70FC30}">
            <xm:f>$M$17&lt;&gt;'Amend#4 Overview'!G14</xm:f>
            <x14:dxf>
              <fill>
                <patternFill>
                  <bgColor rgb="FFFF0000"/>
                </patternFill>
              </fill>
            </x14:dxf>
          </x14:cfRule>
          <xm:sqref>M17</xm:sqref>
        </x14:conditionalFormatting>
        <x14:conditionalFormatting xmlns:xm="http://schemas.microsoft.com/office/excel/2006/main">
          <x14:cfRule type="cellIs" priority="8" operator="lessThan" id="{728A1CCD-BCB9-43D9-86D4-E232D3FA64F0}">
            <xm:f>'Amend#3 Main Budget'!C6</xm:f>
            <x14:dxf>
              <font>
                <b/>
                <i val="0"/>
                <color rgb="FFFF0000"/>
              </font>
            </x14:dxf>
          </x14:cfRule>
          <x14:cfRule type="cellIs" priority="9" operator="greaterThan" id="{AA162B59-3423-4A82-A8EF-664A0AEFC980}">
            <xm:f>'Amend#3 Main Budget'!C6</xm:f>
            <x14:dxf>
              <font>
                <b/>
                <i val="0"/>
                <color rgb="FF92D050"/>
              </font>
            </x14:dxf>
          </x14:cfRule>
          <xm:sqref>C6:L13 C15:L15</xm:sqref>
        </x14:conditionalFormatting>
      </x14:conditionalFormattings>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452E6-F76A-4550-9240-F21E9CC36CF5}">
  <sheetPr>
    <tabColor theme="5" tint="0.39997558519241921"/>
  </sheetPr>
  <dimension ref="A1:S72"/>
  <sheetViews>
    <sheetView zoomScaleNormal="100" workbookViewId="0">
      <selection activeCell="C4" sqref="C4:D4"/>
    </sheetView>
  </sheetViews>
  <sheetFormatPr defaultRowHeight="14.4" x14ac:dyDescent="0.3"/>
  <cols>
    <col min="1" max="1" width="14.21875" customWidth="1"/>
    <col min="2" max="2" width="15.88671875" customWidth="1"/>
    <col min="3" max="3" width="14.21875" customWidth="1"/>
    <col min="4" max="4" width="14.77734375" customWidth="1"/>
    <col min="5" max="6" width="15" customWidth="1"/>
    <col min="7" max="7" width="3.5546875" customWidth="1"/>
  </cols>
  <sheetData>
    <row r="1" spans="1:19" ht="29.4" customHeight="1" thickBot="1" x14ac:dyDescent="0.35">
      <c r="A1" s="793" t="s">
        <v>2034</v>
      </c>
      <c r="B1" s="794"/>
      <c r="C1" s="794"/>
      <c r="D1" s="794"/>
      <c r="E1" s="794"/>
      <c r="F1" s="794"/>
      <c r="G1" s="794"/>
      <c r="H1" s="794"/>
      <c r="I1" s="794"/>
      <c r="J1" s="794"/>
      <c r="K1" s="794"/>
      <c r="L1" s="794"/>
      <c r="M1" s="794"/>
      <c r="N1" s="794"/>
      <c r="O1" s="794"/>
      <c r="P1" s="794"/>
      <c r="Q1" s="794"/>
      <c r="R1" s="794"/>
      <c r="S1" s="795"/>
    </row>
    <row r="2" spans="1:19" ht="15" thickBot="1" x14ac:dyDescent="0.35">
      <c r="A2" s="275" t="s">
        <v>2036</v>
      </c>
      <c r="B2" s="276" t="s">
        <v>2061</v>
      </c>
      <c r="C2" s="268"/>
      <c r="D2" s="275" t="s">
        <v>2035</v>
      </c>
      <c r="E2" s="604"/>
      <c r="F2" s="604"/>
      <c r="G2" s="268"/>
      <c r="H2" s="268"/>
      <c r="I2" s="268"/>
      <c r="J2" s="268"/>
      <c r="K2" s="268"/>
      <c r="L2" s="268"/>
      <c r="M2" s="268"/>
      <c r="N2" s="268"/>
      <c r="O2" s="268"/>
      <c r="P2" s="268"/>
      <c r="Q2" s="268"/>
      <c r="R2" s="268"/>
      <c r="S2" s="269"/>
    </row>
    <row r="3" spans="1:19" x14ac:dyDescent="0.3">
      <c r="A3" s="629" t="s">
        <v>2037</v>
      </c>
      <c r="B3" s="630"/>
      <c r="C3" s="630" t="s">
        <v>2038</v>
      </c>
      <c r="D3" s="630"/>
      <c r="E3" s="630" t="s">
        <v>2039</v>
      </c>
      <c r="F3" s="638"/>
      <c r="G3" s="268"/>
      <c r="H3" s="268"/>
      <c r="I3" s="268"/>
      <c r="J3" s="268"/>
      <c r="K3" s="268"/>
      <c r="L3" s="268"/>
      <c r="M3" s="268"/>
      <c r="N3" s="268"/>
      <c r="O3" s="268"/>
      <c r="P3" s="268"/>
      <c r="Q3" s="268"/>
      <c r="R3" s="268"/>
      <c r="S3" s="269"/>
    </row>
    <row r="4" spans="1:19" ht="15" thickBot="1" x14ac:dyDescent="0.35">
      <c r="A4" s="733">
        <f>'Amend#4 Overview'!C8</f>
        <v>0</v>
      </c>
      <c r="B4" s="641"/>
      <c r="C4" s="641">
        <f>'Amend#4 Overview'!G8</f>
        <v>0</v>
      </c>
      <c r="D4" s="641"/>
      <c r="E4" s="642">
        <f>'Amend#4 Overview'!K8</f>
        <v>0</v>
      </c>
      <c r="F4" s="643"/>
      <c r="G4" s="268"/>
      <c r="H4" s="268"/>
      <c r="I4" s="268"/>
      <c r="J4" s="268"/>
      <c r="K4" s="268"/>
      <c r="L4" s="268"/>
      <c r="M4" s="268"/>
      <c r="N4" s="268"/>
      <c r="O4" s="268"/>
      <c r="P4" s="268"/>
      <c r="Q4" s="268"/>
      <c r="R4" s="268"/>
      <c r="S4" s="269"/>
    </row>
    <row r="5" spans="1:19" ht="29.4" customHeight="1" x14ac:dyDescent="0.3">
      <c r="A5" s="629" t="s">
        <v>2040</v>
      </c>
      <c r="B5" s="630"/>
      <c r="C5" s="630" t="s">
        <v>2041</v>
      </c>
      <c r="D5" s="630"/>
      <c r="E5" s="631" t="s">
        <v>2042</v>
      </c>
      <c r="F5" s="632"/>
      <c r="G5" s="268"/>
      <c r="H5" s="268"/>
      <c r="I5" s="268"/>
      <c r="J5" s="268"/>
      <c r="K5" s="268"/>
      <c r="L5" s="268"/>
      <c r="M5" s="268"/>
      <c r="N5" s="268"/>
      <c r="O5" s="268"/>
      <c r="P5" s="268"/>
      <c r="Q5" s="268"/>
      <c r="R5" s="268"/>
      <c r="S5" s="269"/>
    </row>
    <row r="6" spans="1:19" ht="15" thickBot="1" x14ac:dyDescent="0.35">
      <c r="A6" s="633" t="str">
        <f>Overview!G9</f>
        <v/>
      </c>
      <c r="B6" s="634"/>
      <c r="C6" s="635">
        <f>'Amend#4 Overview'!G10</f>
        <v>0</v>
      </c>
      <c r="D6" s="634"/>
      <c r="E6" s="636" t="str">
        <f>IFERROR(C6/A6,"")</f>
        <v/>
      </c>
      <c r="F6" s="637"/>
      <c r="G6" s="268"/>
      <c r="H6" s="268"/>
      <c r="I6" s="268"/>
      <c r="J6" s="268"/>
      <c r="K6" s="268"/>
      <c r="L6" s="268"/>
      <c r="M6" s="268"/>
      <c r="N6" s="268"/>
      <c r="O6" s="268"/>
      <c r="P6" s="268"/>
      <c r="Q6" s="268"/>
      <c r="R6" s="268"/>
      <c r="S6" s="269"/>
    </row>
    <row r="7" spans="1:19" x14ac:dyDescent="0.3">
      <c r="A7" s="270"/>
      <c r="B7" s="268"/>
      <c r="C7" s="268"/>
      <c r="D7" s="268"/>
      <c r="E7" s="268"/>
      <c r="F7" s="268"/>
      <c r="G7" s="268"/>
      <c r="H7" s="268"/>
      <c r="I7" s="268"/>
      <c r="J7" s="268"/>
      <c r="K7" s="268"/>
      <c r="L7" s="268"/>
      <c r="M7" s="268"/>
      <c r="N7" s="268"/>
      <c r="O7" s="268"/>
      <c r="P7" s="268"/>
      <c r="Q7" s="268"/>
      <c r="R7" s="268"/>
      <c r="S7" s="269"/>
    </row>
    <row r="8" spans="1:19" x14ac:dyDescent="0.3">
      <c r="A8" s="621" t="s">
        <v>2044</v>
      </c>
      <c r="B8" s="602"/>
      <c r="C8" s="266"/>
      <c r="D8" s="267"/>
      <c r="E8" s="602" t="s">
        <v>2043</v>
      </c>
      <c r="F8" s="602"/>
      <c r="G8" s="268"/>
      <c r="H8" s="268"/>
      <c r="I8" s="268"/>
      <c r="J8" s="268"/>
      <c r="K8" s="268"/>
      <c r="L8" s="268"/>
      <c r="M8" s="268"/>
      <c r="N8" s="268"/>
      <c r="O8" s="268"/>
      <c r="P8" s="268"/>
      <c r="Q8" s="268"/>
      <c r="R8" s="268"/>
      <c r="S8" s="269"/>
    </row>
    <row r="9" spans="1:19" x14ac:dyDescent="0.3">
      <c r="A9" s="600" t="s">
        <v>2060</v>
      </c>
      <c r="B9" s="601"/>
      <c r="C9" s="271"/>
      <c r="D9" s="271"/>
      <c r="E9" s="600" t="s">
        <v>2060</v>
      </c>
      <c r="F9" s="601"/>
      <c r="G9" s="268"/>
      <c r="H9" s="268"/>
      <c r="I9" s="268"/>
      <c r="J9" s="268"/>
      <c r="K9" s="268"/>
      <c r="L9" s="268"/>
      <c r="M9" s="268"/>
      <c r="N9" s="268"/>
      <c r="O9" s="268"/>
      <c r="P9" s="268"/>
      <c r="Q9" s="268"/>
      <c r="R9" s="268"/>
      <c r="S9" s="269"/>
    </row>
    <row r="10" spans="1:19" x14ac:dyDescent="0.3">
      <c r="A10" s="621" t="s">
        <v>2045</v>
      </c>
      <c r="B10" s="602"/>
      <c r="C10" s="268"/>
      <c r="D10" s="268"/>
      <c r="E10" s="602" t="s">
        <v>2045</v>
      </c>
      <c r="F10" s="602"/>
      <c r="G10" s="268"/>
      <c r="H10" s="268"/>
      <c r="I10" s="268"/>
      <c r="J10" s="268"/>
      <c r="K10" s="268"/>
      <c r="L10" s="268"/>
      <c r="M10" s="268"/>
      <c r="N10" s="268"/>
      <c r="O10" s="268"/>
      <c r="P10" s="268"/>
      <c r="Q10" s="268"/>
      <c r="R10" s="268"/>
      <c r="S10" s="269"/>
    </row>
    <row r="11" spans="1:19" x14ac:dyDescent="0.3">
      <c r="A11" s="622">
        <f>IF('Amend#4 Overview'!M23&gt;'Amend#4 Overview'!I15,'Amend#4 Overview'!M23-'Amend#4 Overview'!I15,0)</f>
        <v>0</v>
      </c>
      <c r="B11" s="623"/>
      <c r="C11" s="268"/>
      <c r="D11" s="268"/>
      <c r="E11" s="624">
        <f>IF('Amend#4 Overview'!M22&gt;'Amend#4 Overview'!M21,'Amend#4 Overview'!M22-'Amend#4 Overview'!M21,0)</f>
        <v>0</v>
      </c>
      <c r="F11" s="624"/>
      <c r="G11" s="268"/>
      <c r="H11" s="268"/>
      <c r="I11" s="268"/>
      <c r="J11" s="268"/>
      <c r="K11" s="268"/>
      <c r="L11" s="268"/>
      <c r="M11" s="268"/>
      <c r="N11" s="268"/>
      <c r="O11" s="268"/>
      <c r="P11" s="268"/>
      <c r="Q11" s="268"/>
      <c r="R11" s="268"/>
      <c r="S11" s="269"/>
    </row>
    <row r="12" spans="1:19" ht="15" thickBot="1" x14ac:dyDescent="0.35">
      <c r="A12" s="270"/>
      <c r="B12" s="268"/>
      <c r="C12" s="268"/>
      <c r="D12" s="268"/>
      <c r="E12" s="268"/>
      <c r="F12" s="268"/>
      <c r="G12" s="268"/>
      <c r="H12" s="268"/>
      <c r="I12" s="268"/>
      <c r="J12" s="268"/>
      <c r="K12" s="268"/>
      <c r="L12" s="268"/>
      <c r="M12" s="268"/>
      <c r="N12" s="268"/>
      <c r="O12" s="268"/>
      <c r="P12" s="268"/>
      <c r="Q12" s="268"/>
      <c r="R12" s="268"/>
      <c r="S12" s="269"/>
    </row>
    <row r="13" spans="1:19" ht="15" thickBot="1" x14ac:dyDescent="0.35">
      <c r="A13" s="621" t="s">
        <v>2046</v>
      </c>
      <c r="B13" s="602"/>
      <c r="C13" s="602"/>
      <c r="D13" s="602"/>
      <c r="E13" s="602"/>
      <c r="F13" s="602"/>
      <c r="G13" s="268"/>
      <c r="H13" s="605" t="s">
        <v>2049</v>
      </c>
      <c r="I13" s="606"/>
      <c r="J13" s="606"/>
      <c r="K13" s="606"/>
      <c r="L13" s="606"/>
      <c r="M13" s="606"/>
      <c r="N13" s="606"/>
      <c r="O13" s="606"/>
      <c r="P13" s="606"/>
      <c r="Q13" s="606"/>
      <c r="R13" s="606"/>
      <c r="S13" s="607"/>
    </row>
    <row r="14" spans="1:19" ht="14.4" customHeight="1" thickBot="1" x14ac:dyDescent="0.35">
      <c r="A14" s="627" t="s">
        <v>2060</v>
      </c>
      <c r="B14" s="628"/>
      <c r="C14" s="612" t="s">
        <v>2054</v>
      </c>
      <c r="D14" s="613"/>
      <c r="E14" s="613"/>
      <c r="F14" s="614"/>
      <c r="G14" s="268"/>
      <c r="H14" s="608"/>
      <c r="I14" s="609"/>
      <c r="J14" s="609"/>
      <c r="K14" s="609"/>
      <c r="L14" s="609"/>
      <c r="M14" s="609"/>
      <c r="N14" s="609"/>
      <c r="O14" s="609"/>
      <c r="P14" s="609"/>
      <c r="Q14" s="609"/>
      <c r="R14" s="609"/>
      <c r="S14" s="610"/>
    </row>
    <row r="15" spans="1:19" x14ac:dyDescent="0.3">
      <c r="A15" s="627"/>
      <c r="B15" s="628"/>
      <c r="C15" s="615"/>
      <c r="D15" s="611"/>
      <c r="E15" s="611"/>
      <c r="F15" s="616"/>
      <c r="G15" s="268"/>
      <c r="H15" s="602" t="s">
        <v>2050</v>
      </c>
      <c r="I15" s="602"/>
      <c r="J15" s="602"/>
      <c r="K15" s="602"/>
      <c r="L15" s="602" t="s">
        <v>2051</v>
      </c>
      <c r="M15" s="602"/>
      <c r="N15" s="602"/>
      <c r="O15" s="602"/>
      <c r="P15" s="602" t="s">
        <v>2052</v>
      </c>
      <c r="Q15" s="602"/>
      <c r="R15" s="602"/>
      <c r="S15" s="603"/>
    </row>
    <row r="16" spans="1:19" x14ac:dyDescent="0.3">
      <c r="A16" s="627"/>
      <c r="B16" s="628"/>
      <c r="C16" s="615"/>
      <c r="D16" s="611"/>
      <c r="E16" s="611"/>
      <c r="F16" s="616"/>
      <c r="G16" s="268"/>
      <c r="H16" s="620" t="s">
        <v>2061</v>
      </c>
      <c r="I16" s="620"/>
      <c r="J16" s="620"/>
      <c r="K16" s="620"/>
      <c r="L16" s="620" t="s">
        <v>2060</v>
      </c>
      <c r="M16" s="620"/>
      <c r="N16" s="620"/>
      <c r="O16" s="620"/>
      <c r="P16" s="620" t="s">
        <v>2060</v>
      </c>
      <c r="Q16" s="620"/>
      <c r="R16" s="620"/>
      <c r="S16" s="620"/>
    </row>
    <row r="17" spans="1:19" ht="15" thickBot="1" x14ac:dyDescent="0.35">
      <c r="A17" s="270"/>
      <c r="B17" s="268"/>
      <c r="C17" s="615"/>
      <c r="D17" s="611"/>
      <c r="E17" s="611"/>
      <c r="F17" s="616"/>
      <c r="G17" s="268"/>
      <c r="H17" s="268"/>
      <c r="I17" s="268"/>
      <c r="J17" s="268"/>
      <c r="K17" s="268"/>
      <c r="L17" s="268"/>
      <c r="M17" s="268"/>
      <c r="N17" s="268"/>
      <c r="O17" s="268"/>
      <c r="P17" s="268"/>
      <c r="Q17" s="268"/>
      <c r="R17" s="268"/>
      <c r="S17" s="269"/>
    </row>
    <row r="18" spans="1:19" x14ac:dyDescent="0.3">
      <c r="A18" s="270"/>
      <c r="B18" s="268"/>
      <c r="C18" s="615"/>
      <c r="D18" s="611"/>
      <c r="E18" s="611"/>
      <c r="F18" s="616"/>
      <c r="G18" s="268"/>
      <c r="H18" s="602" t="s">
        <v>2053</v>
      </c>
      <c r="I18" s="602"/>
      <c r="J18" s="602"/>
      <c r="K18" s="602"/>
      <c r="L18" s="268"/>
      <c r="M18" s="612" t="s">
        <v>2054</v>
      </c>
      <c r="N18" s="613"/>
      <c r="O18" s="613"/>
      <c r="P18" s="613"/>
      <c r="Q18" s="613"/>
      <c r="R18" s="613"/>
      <c r="S18" s="614"/>
    </row>
    <row r="19" spans="1:19" x14ac:dyDescent="0.3">
      <c r="A19" s="270"/>
      <c r="B19" s="268"/>
      <c r="C19" s="615"/>
      <c r="D19" s="611"/>
      <c r="E19" s="611"/>
      <c r="F19" s="616"/>
      <c r="G19" s="268"/>
      <c r="H19" s="611" t="s">
        <v>2054</v>
      </c>
      <c r="I19" s="611"/>
      <c r="J19" s="611"/>
      <c r="K19" s="611"/>
      <c r="L19" s="268"/>
      <c r="M19" s="615"/>
      <c r="N19" s="611"/>
      <c r="O19" s="611"/>
      <c r="P19" s="611"/>
      <c r="Q19" s="611"/>
      <c r="R19" s="611"/>
      <c r="S19" s="616"/>
    </row>
    <row r="20" spans="1:19" x14ac:dyDescent="0.3">
      <c r="A20" s="270"/>
      <c r="B20" s="268"/>
      <c r="C20" s="615"/>
      <c r="D20" s="611"/>
      <c r="E20" s="611"/>
      <c r="F20" s="616"/>
      <c r="G20" s="268"/>
      <c r="H20" s="611"/>
      <c r="I20" s="611"/>
      <c r="J20" s="611"/>
      <c r="K20" s="611"/>
      <c r="L20" s="268"/>
      <c r="M20" s="615"/>
      <c r="N20" s="611"/>
      <c r="O20" s="611"/>
      <c r="P20" s="611"/>
      <c r="Q20" s="611"/>
      <c r="R20" s="611"/>
      <c r="S20" s="616"/>
    </row>
    <row r="21" spans="1:19" x14ac:dyDescent="0.3">
      <c r="A21" s="270"/>
      <c r="B21" s="268"/>
      <c r="C21" s="615"/>
      <c r="D21" s="611"/>
      <c r="E21" s="611"/>
      <c r="F21" s="616"/>
      <c r="G21" s="268"/>
      <c r="H21" s="611"/>
      <c r="I21" s="611"/>
      <c r="J21" s="611"/>
      <c r="K21" s="611"/>
      <c r="L21" s="268"/>
      <c r="M21" s="615"/>
      <c r="N21" s="611"/>
      <c r="O21" s="611"/>
      <c r="P21" s="611"/>
      <c r="Q21" s="611"/>
      <c r="R21" s="611"/>
      <c r="S21" s="616"/>
    </row>
    <row r="22" spans="1:19" x14ac:dyDescent="0.3">
      <c r="A22" s="270"/>
      <c r="B22" s="268"/>
      <c r="C22" s="615"/>
      <c r="D22" s="611"/>
      <c r="E22" s="611"/>
      <c r="F22" s="616"/>
      <c r="G22" s="268"/>
      <c r="H22" s="611"/>
      <c r="I22" s="611"/>
      <c r="J22" s="611"/>
      <c r="K22" s="611"/>
      <c r="L22" s="268"/>
      <c r="M22" s="615"/>
      <c r="N22" s="611"/>
      <c r="O22" s="611"/>
      <c r="P22" s="611"/>
      <c r="Q22" s="611"/>
      <c r="R22" s="611"/>
      <c r="S22" s="616"/>
    </row>
    <row r="23" spans="1:19" x14ac:dyDescent="0.3">
      <c r="A23" s="270"/>
      <c r="B23" s="268"/>
      <c r="C23" s="615"/>
      <c r="D23" s="611"/>
      <c r="E23" s="611"/>
      <c r="F23" s="616"/>
      <c r="G23" s="268"/>
      <c r="H23" s="611"/>
      <c r="I23" s="611"/>
      <c r="J23" s="611"/>
      <c r="K23" s="611"/>
      <c r="L23" s="268"/>
      <c r="M23" s="615"/>
      <c r="N23" s="611"/>
      <c r="O23" s="611"/>
      <c r="P23" s="611"/>
      <c r="Q23" s="611"/>
      <c r="R23" s="611"/>
      <c r="S23" s="616"/>
    </row>
    <row r="24" spans="1:19" x14ac:dyDescent="0.3">
      <c r="A24" s="270"/>
      <c r="B24" s="268"/>
      <c r="C24" s="615"/>
      <c r="D24" s="611"/>
      <c r="E24" s="611"/>
      <c r="F24" s="616"/>
      <c r="G24" s="268"/>
      <c r="H24" s="611"/>
      <c r="I24" s="611"/>
      <c r="J24" s="611"/>
      <c r="K24" s="611"/>
      <c r="L24" s="268"/>
      <c r="M24" s="615"/>
      <c r="N24" s="611"/>
      <c r="O24" s="611"/>
      <c r="P24" s="611"/>
      <c r="Q24" s="611"/>
      <c r="R24" s="611"/>
      <c r="S24" s="616"/>
    </row>
    <row r="25" spans="1:19" x14ac:dyDescent="0.3">
      <c r="A25" s="270"/>
      <c r="B25" s="268"/>
      <c r="C25" s="615"/>
      <c r="D25" s="611"/>
      <c r="E25" s="611"/>
      <c r="F25" s="616"/>
      <c r="G25" s="268"/>
      <c r="H25" s="611"/>
      <c r="I25" s="611"/>
      <c r="J25" s="611"/>
      <c r="K25" s="611"/>
      <c r="L25" s="268"/>
      <c r="M25" s="615"/>
      <c r="N25" s="611"/>
      <c r="O25" s="611"/>
      <c r="P25" s="611"/>
      <c r="Q25" s="611"/>
      <c r="R25" s="611"/>
      <c r="S25" s="616"/>
    </row>
    <row r="26" spans="1:19" x14ac:dyDescent="0.3">
      <c r="A26" s="270"/>
      <c r="B26" s="268"/>
      <c r="C26" s="615"/>
      <c r="D26" s="611"/>
      <c r="E26" s="611"/>
      <c r="F26" s="616"/>
      <c r="G26" s="268"/>
      <c r="H26" s="611"/>
      <c r="I26" s="611"/>
      <c r="J26" s="611"/>
      <c r="K26" s="611"/>
      <c r="L26" s="268"/>
      <c r="M26" s="615"/>
      <c r="N26" s="611"/>
      <c r="O26" s="611"/>
      <c r="P26" s="611"/>
      <c r="Q26" s="611"/>
      <c r="R26" s="611"/>
      <c r="S26" s="616"/>
    </row>
    <row r="27" spans="1:19" x14ac:dyDescent="0.3">
      <c r="A27" s="270"/>
      <c r="B27" s="268"/>
      <c r="C27" s="615"/>
      <c r="D27" s="611"/>
      <c r="E27" s="611"/>
      <c r="F27" s="616"/>
      <c r="G27" s="268"/>
      <c r="H27" s="268"/>
      <c r="I27" s="268"/>
      <c r="J27" s="268"/>
      <c r="K27" s="268"/>
      <c r="L27" s="268"/>
      <c r="M27" s="615"/>
      <c r="N27" s="611"/>
      <c r="O27" s="611"/>
      <c r="P27" s="611"/>
      <c r="Q27" s="611"/>
      <c r="R27" s="611"/>
      <c r="S27" s="616"/>
    </row>
    <row r="28" spans="1:19" x14ac:dyDescent="0.3">
      <c r="A28" s="270"/>
      <c r="B28" s="268"/>
      <c r="C28" s="615"/>
      <c r="D28" s="611"/>
      <c r="E28" s="611"/>
      <c r="F28" s="616"/>
      <c r="G28" s="268"/>
      <c r="H28" s="268"/>
      <c r="I28" s="268"/>
      <c r="J28" s="268"/>
      <c r="K28" s="268"/>
      <c r="L28" s="268"/>
      <c r="M28" s="615"/>
      <c r="N28" s="611"/>
      <c r="O28" s="611"/>
      <c r="P28" s="611"/>
      <c r="Q28" s="611"/>
      <c r="R28" s="611"/>
      <c r="S28" s="616"/>
    </row>
    <row r="29" spans="1:19" x14ac:dyDescent="0.3">
      <c r="A29" s="270"/>
      <c r="B29" s="268"/>
      <c r="C29" s="615"/>
      <c r="D29" s="611"/>
      <c r="E29" s="611"/>
      <c r="F29" s="616"/>
      <c r="G29" s="268"/>
      <c r="H29" s="268"/>
      <c r="I29" s="268"/>
      <c r="J29" s="268"/>
      <c r="K29" s="268"/>
      <c r="L29" s="268"/>
      <c r="M29" s="615"/>
      <c r="N29" s="611"/>
      <c r="O29" s="611"/>
      <c r="P29" s="611"/>
      <c r="Q29" s="611"/>
      <c r="R29" s="611"/>
      <c r="S29" s="616"/>
    </row>
    <row r="30" spans="1:19" x14ac:dyDescent="0.3">
      <c r="A30" s="270"/>
      <c r="B30" s="268"/>
      <c r="C30" s="615"/>
      <c r="D30" s="611"/>
      <c r="E30" s="611"/>
      <c r="F30" s="616"/>
      <c r="G30" s="268"/>
      <c r="H30" s="268"/>
      <c r="I30" s="268"/>
      <c r="J30" s="268"/>
      <c r="K30" s="268"/>
      <c r="L30" s="268"/>
      <c r="M30" s="615"/>
      <c r="N30" s="611"/>
      <c r="O30" s="611"/>
      <c r="P30" s="611"/>
      <c r="Q30" s="611"/>
      <c r="R30" s="611"/>
      <c r="S30" s="616"/>
    </row>
    <row r="31" spans="1:19" ht="15" thickBot="1" x14ac:dyDescent="0.35">
      <c r="A31" s="270"/>
      <c r="B31" s="268"/>
      <c r="C31" s="617"/>
      <c r="D31" s="618"/>
      <c r="E31" s="618"/>
      <c r="F31" s="619"/>
      <c r="G31" s="268"/>
      <c r="H31" s="268"/>
      <c r="I31" s="268"/>
      <c r="J31" s="268"/>
      <c r="K31" s="268"/>
      <c r="L31" s="268"/>
      <c r="M31" s="615"/>
      <c r="N31" s="611"/>
      <c r="O31" s="611"/>
      <c r="P31" s="611"/>
      <c r="Q31" s="611"/>
      <c r="R31" s="611"/>
      <c r="S31" s="616"/>
    </row>
    <row r="32" spans="1:19" x14ac:dyDescent="0.3">
      <c r="A32" s="270"/>
      <c r="B32" s="268"/>
      <c r="C32" s="268"/>
      <c r="D32" s="268"/>
      <c r="E32" s="268"/>
      <c r="F32" s="268"/>
      <c r="G32" s="268"/>
      <c r="H32" s="268"/>
      <c r="I32" s="268"/>
      <c r="J32" s="268"/>
      <c r="K32" s="268"/>
      <c r="L32" s="268"/>
      <c r="M32" s="615"/>
      <c r="N32" s="611"/>
      <c r="O32" s="611"/>
      <c r="P32" s="611"/>
      <c r="Q32" s="611"/>
      <c r="R32" s="611"/>
      <c r="S32" s="616"/>
    </row>
    <row r="33" spans="1:19" ht="15" thickBot="1" x14ac:dyDescent="0.35">
      <c r="A33" s="621" t="s">
        <v>2047</v>
      </c>
      <c r="B33" s="602"/>
      <c r="C33" s="602"/>
      <c r="D33" s="602"/>
      <c r="E33" s="602"/>
      <c r="F33" s="602"/>
      <c r="G33" s="268"/>
      <c r="H33" s="268"/>
      <c r="I33" s="268"/>
      <c r="J33" s="268"/>
      <c r="K33" s="268"/>
      <c r="L33" s="268"/>
      <c r="M33" s="615"/>
      <c r="N33" s="611"/>
      <c r="O33" s="611"/>
      <c r="P33" s="611"/>
      <c r="Q33" s="611"/>
      <c r="R33" s="611"/>
      <c r="S33" s="616"/>
    </row>
    <row r="34" spans="1:19" x14ac:dyDescent="0.3">
      <c r="A34" s="627" t="s">
        <v>2060</v>
      </c>
      <c r="B34" s="628"/>
      <c r="C34" s="612" t="s">
        <v>2054</v>
      </c>
      <c r="D34" s="613"/>
      <c r="E34" s="613"/>
      <c r="F34" s="614"/>
      <c r="G34" s="268"/>
      <c r="H34" s="268"/>
      <c r="I34" s="268"/>
      <c r="J34" s="268"/>
      <c r="K34" s="268"/>
      <c r="L34" s="268"/>
      <c r="M34" s="615"/>
      <c r="N34" s="611"/>
      <c r="O34" s="611"/>
      <c r="P34" s="611"/>
      <c r="Q34" s="611"/>
      <c r="R34" s="611"/>
      <c r="S34" s="616"/>
    </row>
    <row r="35" spans="1:19" ht="15" thickBot="1" x14ac:dyDescent="0.35">
      <c r="A35" s="627"/>
      <c r="B35" s="628"/>
      <c r="C35" s="615"/>
      <c r="D35" s="611"/>
      <c r="E35" s="611"/>
      <c r="F35" s="616"/>
      <c r="G35" s="268"/>
      <c r="H35" s="268"/>
      <c r="I35" s="268"/>
      <c r="J35" s="268"/>
      <c r="K35" s="268"/>
      <c r="L35" s="268"/>
      <c r="M35" s="617"/>
      <c r="N35" s="618"/>
      <c r="O35" s="618"/>
      <c r="P35" s="618"/>
      <c r="Q35" s="618"/>
      <c r="R35" s="618"/>
      <c r="S35" s="619"/>
    </row>
    <row r="36" spans="1:19" x14ac:dyDescent="0.3">
      <c r="A36" s="627"/>
      <c r="B36" s="628"/>
      <c r="C36" s="615"/>
      <c r="D36" s="611"/>
      <c r="E36" s="611"/>
      <c r="F36" s="616"/>
      <c r="G36" s="268"/>
      <c r="H36" s="268"/>
      <c r="I36" s="268"/>
      <c r="J36" s="268"/>
      <c r="K36" s="268"/>
      <c r="L36" s="268"/>
      <c r="M36" s="268"/>
      <c r="N36" s="268"/>
      <c r="O36" s="268"/>
      <c r="P36" s="268"/>
      <c r="Q36" s="268"/>
      <c r="R36" s="268"/>
      <c r="S36" s="269"/>
    </row>
    <row r="37" spans="1:19" x14ac:dyDescent="0.3">
      <c r="A37" s="270"/>
      <c r="B37" s="268"/>
      <c r="C37" s="615"/>
      <c r="D37" s="611"/>
      <c r="E37" s="611"/>
      <c r="F37" s="616"/>
      <c r="G37" s="268"/>
      <c r="H37" s="268"/>
      <c r="I37" s="268"/>
      <c r="J37" s="268"/>
      <c r="K37" s="268"/>
      <c r="L37" s="268"/>
      <c r="M37" s="268"/>
      <c r="N37" s="268"/>
      <c r="O37" s="268"/>
      <c r="P37" s="268"/>
      <c r="Q37" s="268"/>
      <c r="R37" s="268"/>
      <c r="S37" s="269"/>
    </row>
    <row r="38" spans="1:19" x14ac:dyDescent="0.3">
      <c r="A38" s="270"/>
      <c r="B38" s="268"/>
      <c r="C38" s="615"/>
      <c r="D38" s="611"/>
      <c r="E38" s="611"/>
      <c r="F38" s="616"/>
      <c r="G38" s="268"/>
      <c r="H38" s="602" t="s">
        <v>2055</v>
      </c>
      <c r="I38" s="602"/>
      <c r="J38" s="602"/>
      <c r="K38" s="602"/>
      <c r="L38" s="602"/>
      <c r="M38" s="602"/>
      <c r="N38" s="602"/>
      <c r="O38" s="602"/>
      <c r="P38" s="602"/>
      <c r="Q38" s="602"/>
      <c r="R38" s="602"/>
      <c r="S38" s="603"/>
    </row>
    <row r="39" spans="1:19" ht="15" thickBot="1" x14ac:dyDescent="0.35">
      <c r="A39" s="270"/>
      <c r="B39" s="268"/>
      <c r="C39" s="615"/>
      <c r="D39" s="611"/>
      <c r="E39" s="611"/>
      <c r="F39" s="616"/>
      <c r="G39" s="268"/>
      <c r="H39" s="268"/>
      <c r="I39" s="268"/>
      <c r="J39" s="268"/>
      <c r="K39" s="268"/>
      <c r="L39" s="268"/>
      <c r="M39" s="268"/>
      <c r="N39" s="268"/>
      <c r="O39" s="268"/>
      <c r="P39" s="268"/>
      <c r="Q39" s="268"/>
      <c r="R39" s="268"/>
      <c r="S39" s="269"/>
    </row>
    <row r="40" spans="1:19" x14ac:dyDescent="0.3">
      <c r="A40" s="270"/>
      <c r="B40" s="268"/>
      <c r="C40" s="615"/>
      <c r="D40" s="611"/>
      <c r="E40" s="611"/>
      <c r="F40" s="616"/>
      <c r="G40" s="268"/>
      <c r="H40" s="602" t="s">
        <v>2057</v>
      </c>
      <c r="I40" s="602"/>
      <c r="J40" s="602"/>
      <c r="K40" s="268"/>
      <c r="L40" s="602" t="s">
        <v>2056</v>
      </c>
      <c r="M40" s="602"/>
      <c r="N40" s="602"/>
      <c r="O40" s="612" t="s">
        <v>2054</v>
      </c>
      <c r="P40" s="613"/>
      <c r="Q40" s="613"/>
      <c r="R40" s="613"/>
      <c r="S40" s="614"/>
    </row>
    <row r="41" spans="1:19" x14ac:dyDescent="0.3">
      <c r="A41" s="270"/>
      <c r="B41" s="268"/>
      <c r="C41" s="615"/>
      <c r="D41" s="611"/>
      <c r="E41" s="611"/>
      <c r="F41" s="616"/>
      <c r="G41" s="268"/>
      <c r="H41" s="625">
        <f>'Amend#4 Overview'!C8</f>
        <v>0</v>
      </c>
      <c r="I41" s="625"/>
      <c r="J41" s="625"/>
      <c r="K41" s="268"/>
      <c r="L41" s="626"/>
      <c r="M41" s="626"/>
      <c r="N41" s="626"/>
      <c r="O41" s="615"/>
      <c r="P41" s="611"/>
      <c r="Q41" s="611"/>
      <c r="R41" s="611"/>
      <c r="S41" s="616"/>
    </row>
    <row r="42" spans="1:19" x14ac:dyDescent="0.3">
      <c r="A42" s="270"/>
      <c r="B42" s="268"/>
      <c r="C42" s="615"/>
      <c r="D42" s="611"/>
      <c r="E42" s="611"/>
      <c r="F42" s="616"/>
      <c r="G42" s="268"/>
      <c r="H42" s="268"/>
      <c r="I42" s="268"/>
      <c r="J42" s="268"/>
      <c r="K42" s="268"/>
      <c r="L42" s="268"/>
      <c r="M42" s="268"/>
      <c r="N42" s="268"/>
      <c r="O42" s="615"/>
      <c r="P42" s="611"/>
      <c r="Q42" s="611"/>
      <c r="R42" s="611"/>
      <c r="S42" s="616"/>
    </row>
    <row r="43" spans="1:19" x14ac:dyDescent="0.3">
      <c r="A43" s="270"/>
      <c r="B43" s="268"/>
      <c r="C43" s="615"/>
      <c r="D43" s="611"/>
      <c r="E43" s="611"/>
      <c r="F43" s="616"/>
      <c r="G43" s="268"/>
      <c r="H43" s="602" t="s">
        <v>2058</v>
      </c>
      <c r="I43" s="602"/>
      <c r="J43" s="602"/>
      <c r="K43" s="268"/>
      <c r="L43" s="602" t="s">
        <v>2059</v>
      </c>
      <c r="M43" s="602"/>
      <c r="N43" s="602"/>
      <c r="O43" s="615"/>
      <c r="P43" s="611"/>
      <c r="Q43" s="611"/>
      <c r="R43" s="611"/>
      <c r="S43" s="616"/>
    </row>
    <row r="44" spans="1:19" ht="15" thickBot="1" x14ac:dyDescent="0.35">
      <c r="A44" s="270"/>
      <c r="B44" s="268"/>
      <c r="C44" s="615"/>
      <c r="D44" s="611"/>
      <c r="E44" s="611"/>
      <c r="F44" s="616"/>
      <c r="G44" s="268"/>
      <c r="H44" s="601" t="s">
        <v>2061</v>
      </c>
      <c r="I44" s="601"/>
      <c r="J44" s="601"/>
      <c r="K44" s="268"/>
      <c r="L44" s="601"/>
      <c r="M44" s="601"/>
      <c r="N44" s="601"/>
      <c r="O44" s="617"/>
      <c r="P44" s="618"/>
      <c r="Q44" s="618"/>
      <c r="R44" s="618"/>
      <c r="S44" s="619"/>
    </row>
    <row r="45" spans="1:19" ht="15" thickBot="1" x14ac:dyDescent="0.35">
      <c r="A45" s="270"/>
      <c r="B45" s="268"/>
      <c r="C45" s="615"/>
      <c r="D45" s="611"/>
      <c r="E45" s="611"/>
      <c r="F45" s="616"/>
      <c r="G45" s="268"/>
      <c r="H45" s="268"/>
      <c r="I45" s="268"/>
      <c r="J45" s="268"/>
      <c r="K45" s="268"/>
      <c r="L45" s="268"/>
      <c r="M45" s="268"/>
      <c r="N45" s="268"/>
      <c r="O45" s="268"/>
      <c r="P45" s="268"/>
      <c r="Q45" s="268"/>
      <c r="R45" s="268"/>
      <c r="S45" s="269"/>
    </row>
    <row r="46" spans="1:19" x14ac:dyDescent="0.3">
      <c r="A46" s="270"/>
      <c r="B46" s="268"/>
      <c r="C46" s="615"/>
      <c r="D46" s="611"/>
      <c r="E46" s="611"/>
      <c r="F46" s="616"/>
      <c r="G46" s="268"/>
      <c r="H46" s="602" t="s">
        <v>2057</v>
      </c>
      <c r="I46" s="602"/>
      <c r="J46" s="602"/>
      <c r="K46" s="268"/>
      <c r="L46" s="602" t="s">
        <v>2056</v>
      </c>
      <c r="M46" s="602"/>
      <c r="N46" s="602"/>
      <c r="O46" s="612" t="s">
        <v>2054</v>
      </c>
      <c r="P46" s="613"/>
      <c r="Q46" s="613"/>
      <c r="R46" s="613"/>
      <c r="S46" s="614"/>
    </row>
    <row r="47" spans="1:19" x14ac:dyDescent="0.3">
      <c r="A47" s="270"/>
      <c r="B47" s="268"/>
      <c r="C47" s="615"/>
      <c r="D47" s="611"/>
      <c r="E47" s="611"/>
      <c r="F47" s="616"/>
      <c r="G47" s="268"/>
      <c r="H47" s="625">
        <f>'Amend#4 Overview'!C8</f>
        <v>0</v>
      </c>
      <c r="I47" s="625"/>
      <c r="J47" s="625"/>
      <c r="K47" s="268"/>
      <c r="L47" s="626"/>
      <c r="M47" s="626"/>
      <c r="N47" s="626"/>
      <c r="O47" s="615"/>
      <c r="P47" s="611"/>
      <c r="Q47" s="611"/>
      <c r="R47" s="611"/>
      <c r="S47" s="616"/>
    </row>
    <row r="48" spans="1:19" x14ac:dyDescent="0.3">
      <c r="A48" s="270"/>
      <c r="B48" s="268"/>
      <c r="C48" s="615"/>
      <c r="D48" s="611"/>
      <c r="E48" s="611"/>
      <c r="F48" s="616"/>
      <c r="G48" s="268"/>
      <c r="H48" s="268"/>
      <c r="I48" s="268"/>
      <c r="J48" s="268"/>
      <c r="K48" s="268"/>
      <c r="L48" s="268"/>
      <c r="M48" s="268"/>
      <c r="N48" s="268"/>
      <c r="O48" s="615"/>
      <c r="P48" s="611"/>
      <c r="Q48" s="611"/>
      <c r="R48" s="611"/>
      <c r="S48" s="616"/>
    </row>
    <row r="49" spans="1:19" x14ac:dyDescent="0.3">
      <c r="A49" s="270"/>
      <c r="B49" s="268"/>
      <c r="C49" s="615"/>
      <c r="D49" s="611"/>
      <c r="E49" s="611"/>
      <c r="F49" s="616"/>
      <c r="G49" s="268"/>
      <c r="H49" s="602" t="s">
        <v>2058</v>
      </c>
      <c r="I49" s="602"/>
      <c r="J49" s="602"/>
      <c r="K49" s="268"/>
      <c r="L49" s="602" t="s">
        <v>2059</v>
      </c>
      <c r="M49" s="602"/>
      <c r="N49" s="602"/>
      <c r="O49" s="615"/>
      <c r="P49" s="611"/>
      <c r="Q49" s="611"/>
      <c r="R49" s="611"/>
      <c r="S49" s="616"/>
    </row>
    <row r="50" spans="1:19" ht="15" thickBot="1" x14ac:dyDescent="0.35">
      <c r="A50" s="270"/>
      <c r="B50" s="268"/>
      <c r="C50" s="615"/>
      <c r="D50" s="611"/>
      <c r="E50" s="611"/>
      <c r="F50" s="616"/>
      <c r="G50" s="268"/>
      <c r="H50" s="601" t="s">
        <v>2061</v>
      </c>
      <c r="I50" s="601"/>
      <c r="J50" s="601"/>
      <c r="K50" s="268"/>
      <c r="L50" s="601"/>
      <c r="M50" s="601"/>
      <c r="N50" s="601"/>
      <c r="O50" s="617"/>
      <c r="P50" s="618"/>
      <c r="Q50" s="618"/>
      <c r="R50" s="618"/>
      <c r="S50" s="619"/>
    </row>
    <row r="51" spans="1:19" ht="15" thickBot="1" x14ac:dyDescent="0.35">
      <c r="A51" s="270"/>
      <c r="B51" s="268"/>
      <c r="C51" s="617"/>
      <c r="D51" s="618"/>
      <c r="E51" s="618"/>
      <c r="F51" s="619"/>
      <c r="G51" s="268"/>
      <c r="H51" s="268"/>
      <c r="I51" s="268"/>
      <c r="J51" s="268"/>
      <c r="K51" s="268"/>
      <c r="L51" s="268"/>
      <c r="M51" s="268"/>
      <c r="N51" s="268"/>
      <c r="O51" s="268"/>
      <c r="P51" s="268"/>
      <c r="Q51" s="268"/>
      <c r="R51" s="268"/>
      <c r="S51" s="269"/>
    </row>
    <row r="52" spans="1:19" x14ac:dyDescent="0.3">
      <c r="A52" s="270"/>
      <c r="B52" s="268"/>
      <c r="C52" s="268"/>
      <c r="D52" s="268"/>
      <c r="E52" s="268"/>
      <c r="F52" s="268"/>
      <c r="G52" s="268"/>
      <c r="H52" s="602" t="s">
        <v>2057</v>
      </c>
      <c r="I52" s="602"/>
      <c r="J52" s="602"/>
      <c r="K52" s="268"/>
      <c r="L52" s="602" t="s">
        <v>2056</v>
      </c>
      <c r="M52" s="602"/>
      <c r="N52" s="602"/>
      <c r="O52" s="612" t="s">
        <v>2054</v>
      </c>
      <c r="P52" s="613"/>
      <c r="Q52" s="613"/>
      <c r="R52" s="613"/>
      <c r="S52" s="614"/>
    </row>
    <row r="53" spans="1:19" ht="15" thickBot="1" x14ac:dyDescent="0.35">
      <c r="A53" s="621" t="s">
        <v>2048</v>
      </c>
      <c r="B53" s="602"/>
      <c r="C53" s="602"/>
      <c r="D53" s="602"/>
      <c r="E53" s="602"/>
      <c r="F53" s="602"/>
      <c r="G53" s="268"/>
      <c r="H53" s="625">
        <f>'Amend#4 Overview'!C8</f>
        <v>0</v>
      </c>
      <c r="I53" s="625"/>
      <c r="J53" s="625"/>
      <c r="K53" s="268"/>
      <c r="L53" s="626"/>
      <c r="M53" s="626"/>
      <c r="N53" s="626"/>
      <c r="O53" s="615"/>
      <c r="P53" s="611"/>
      <c r="Q53" s="611"/>
      <c r="R53" s="611"/>
      <c r="S53" s="616"/>
    </row>
    <row r="54" spans="1:19" x14ac:dyDescent="0.3">
      <c r="A54" s="627" t="s">
        <v>2060</v>
      </c>
      <c r="B54" s="628"/>
      <c r="C54" s="612" t="s">
        <v>2054</v>
      </c>
      <c r="D54" s="613"/>
      <c r="E54" s="613"/>
      <c r="F54" s="614"/>
      <c r="G54" s="268"/>
      <c r="H54" s="268"/>
      <c r="I54" s="268"/>
      <c r="J54" s="268"/>
      <c r="K54" s="268"/>
      <c r="L54" s="268"/>
      <c r="M54" s="268"/>
      <c r="N54" s="268"/>
      <c r="O54" s="615"/>
      <c r="P54" s="611"/>
      <c r="Q54" s="611"/>
      <c r="R54" s="611"/>
      <c r="S54" s="616"/>
    </row>
    <row r="55" spans="1:19" x14ac:dyDescent="0.3">
      <c r="A55" s="627"/>
      <c r="B55" s="628"/>
      <c r="C55" s="615"/>
      <c r="D55" s="611"/>
      <c r="E55" s="611"/>
      <c r="F55" s="616"/>
      <c r="G55" s="268"/>
      <c r="H55" s="602" t="s">
        <v>2058</v>
      </c>
      <c r="I55" s="602"/>
      <c r="J55" s="602"/>
      <c r="K55" s="268"/>
      <c r="L55" s="602" t="s">
        <v>2059</v>
      </c>
      <c r="M55" s="602"/>
      <c r="N55" s="602"/>
      <c r="O55" s="615"/>
      <c r="P55" s="611"/>
      <c r="Q55" s="611"/>
      <c r="R55" s="611"/>
      <c r="S55" s="616"/>
    </row>
    <row r="56" spans="1:19" ht="15" thickBot="1" x14ac:dyDescent="0.35">
      <c r="A56" s="627"/>
      <c r="B56" s="628"/>
      <c r="C56" s="615"/>
      <c r="D56" s="611"/>
      <c r="E56" s="611"/>
      <c r="F56" s="616"/>
      <c r="G56" s="268"/>
      <c r="H56" s="601" t="s">
        <v>2061</v>
      </c>
      <c r="I56" s="601"/>
      <c r="J56" s="601"/>
      <c r="K56" s="268"/>
      <c r="L56" s="601"/>
      <c r="M56" s="601"/>
      <c r="N56" s="601"/>
      <c r="O56" s="617"/>
      <c r="P56" s="618"/>
      <c r="Q56" s="618"/>
      <c r="R56" s="618"/>
      <c r="S56" s="619"/>
    </row>
    <row r="57" spans="1:19" ht="15" thickBot="1" x14ac:dyDescent="0.35">
      <c r="A57" s="270"/>
      <c r="B57" s="268"/>
      <c r="C57" s="615"/>
      <c r="D57" s="611"/>
      <c r="E57" s="611"/>
      <c r="F57" s="616"/>
      <c r="G57" s="268"/>
      <c r="H57" s="268"/>
      <c r="I57" s="268"/>
      <c r="J57" s="268"/>
      <c r="K57" s="268"/>
      <c r="L57" s="268"/>
      <c r="M57" s="268"/>
      <c r="N57" s="268"/>
      <c r="O57" s="268"/>
      <c r="P57" s="268"/>
      <c r="Q57" s="268"/>
      <c r="R57" s="268"/>
      <c r="S57" s="269"/>
    </row>
    <row r="58" spans="1:19" x14ac:dyDescent="0.3">
      <c r="A58" s="270"/>
      <c r="B58" s="268"/>
      <c r="C58" s="615"/>
      <c r="D58" s="611"/>
      <c r="E58" s="611"/>
      <c r="F58" s="616"/>
      <c r="G58" s="268"/>
      <c r="H58" s="602" t="s">
        <v>2057</v>
      </c>
      <c r="I58" s="602"/>
      <c r="J58" s="602"/>
      <c r="K58" s="268"/>
      <c r="L58" s="602" t="s">
        <v>2056</v>
      </c>
      <c r="M58" s="602"/>
      <c r="N58" s="602"/>
      <c r="O58" s="612" t="s">
        <v>2054</v>
      </c>
      <c r="P58" s="613"/>
      <c r="Q58" s="613"/>
      <c r="R58" s="613"/>
      <c r="S58" s="614"/>
    </row>
    <row r="59" spans="1:19" x14ac:dyDescent="0.3">
      <c r="A59" s="270"/>
      <c r="B59" s="268"/>
      <c r="C59" s="615"/>
      <c r="D59" s="611"/>
      <c r="E59" s="611"/>
      <c r="F59" s="616"/>
      <c r="G59" s="268"/>
      <c r="H59" s="625">
        <f>'Amend#4 Overview'!C8</f>
        <v>0</v>
      </c>
      <c r="I59" s="625"/>
      <c r="J59" s="625"/>
      <c r="K59" s="268"/>
      <c r="L59" s="626"/>
      <c r="M59" s="626"/>
      <c r="N59" s="626"/>
      <c r="O59" s="615"/>
      <c r="P59" s="611"/>
      <c r="Q59" s="611"/>
      <c r="R59" s="611"/>
      <c r="S59" s="616"/>
    </row>
    <row r="60" spans="1:19" x14ac:dyDescent="0.3">
      <c r="A60" s="270"/>
      <c r="B60" s="268"/>
      <c r="C60" s="615"/>
      <c r="D60" s="611"/>
      <c r="E60" s="611"/>
      <c r="F60" s="616"/>
      <c r="G60" s="268"/>
      <c r="H60" s="268"/>
      <c r="I60" s="268"/>
      <c r="J60" s="268"/>
      <c r="K60" s="268"/>
      <c r="L60" s="268"/>
      <c r="M60" s="268"/>
      <c r="N60" s="268"/>
      <c r="O60" s="615"/>
      <c r="P60" s="611"/>
      <c r="Q60" s="611"/>
      <c r="R60" s="611"/>
      <c r="S60" s="616"/>
    </row>
    <row r="61" spans="1:19" x14ac:dyDescent="0.3">
      <c r="A61" s="270"/>
      <c r="B61" s="268"/>
      <c r="C61" s="615"/>
      <c r="D61" s="611"/>
      <c r="E61" s="611"/>
      <c r="F61" s="616"/>
      <c r="G61" s="268"/>
      <c r="H61" s="602" t="s">
        <v>2058</v>
      </c>
      <c r="I61" s="602"/>
      <c r="J61" s="602"/>
      <c r="K61" s="268"/>
      <c r="L61" s="602" t="s">
        <v>2059</v>
      </c>
      <c r="M61" s="602"/>
      <c r="N61" s="602"/>
      <c r="O61" s="615"/>
      <c r="P61" s="611"/>
      <c r="Q61" s="611"/>
      <c r="R61" s="611"/>
      <c r="S61" s="616"/>
    </row>
    <row r="62" spans="1:19" ht="15" thickBot="1" x14ac:dyDescent="0.35">
      <c r="A62" s="270"/>
      <c r="B62" s="268"/>
      <c r="C62" s="615"/>
      <c r="D62" s="611"/>
      <c r="E62" s="611"/>
      <c r="F62" s="616"/>
      <c r="G62" s="268"/>
      <c r="H62" s="601" t="s">
        <v>2061</v>
      </c>
      <c r="I62" s="601"/>
      <c r="J62" s="601"/>
      <c r="K62" s="268"/>
      <c r="L62" s="601"/>
      <c r="M62" s="601"/>
      <c r="N62" s="601"/>
      <c r="O62" s="617"/>
      <c r="P62" s="618"/>
      <c r="Q62" s="618"/>
      <c r="R62" s="618"/>
      <c r="S62" s="619"/>
    </row>
    <row r="63" spans="1:19" x14ac:dyDescent="0.3">
      <c r="A63" s="270"/>
      <c r="B63" s="268"/>
      <c r="C63" s="615"/>
      <c r="D63" s="611"/>
      <c r="E63" s="611"/>
      <c r="F63" s="616"/>
      <c r="G63" s="268"/>
      <c r="H63" s="268"/>
      <c r="I63" s="268"/>
      <c r="J63" s="268"/>
      <c r="K63" s="268"/>
      <c r="L63" s="268"/>
      <c r="M63" s="268"/>
      <c r="N63" s="268"/>
      <c r="O63" s="268"/>
      <c r="P63" s="268"/>
      <c r="Q63" s="268"/>
      <c r="R63" s="268"/>
      <c r="S63" s="269"/>
    </row>
    <row r="64" spans="1:19" x14ac:dyDescent="0.3">
      <c r="A64" s="270"/>
      <c r="B64" s="268"/>
      <c r="C64" s="615"/>
      <c r="D64" s="611"/>
      <c r="E64" s="611"/>
      <c r="F64" s="616"/>
      <c r="G64" s="268"/>
      <c r="H64" s="268"/>
      <c r="I64" s="268"/>
      <c r="J64" s="268"/>
      <c r="K64" s="268"/>
      <c r="L64" s="268"/>
      <c r="M64" s="268"/>
      <c r="N64" s="268"/>
      <c r="O64" s="268"/>
      <c r="P64" s="268"/>
      <c r="Q64" s="268"/>
      <c r="R64" s="268"/>
      <c r="S64" s="269"/>
    </row>
    <row r="65" spans="1:19" x14ac:dyDescent="0.3">
      <c r="A65" s="270"/>
      <c r="B65" s="268"/>
      <c r="C65" s="615"/>
      <c r="D65" s="611"/>
      <c r="E65" s="611"/>
      <c r="F65" s="616"/>
      <c r="G65" s="268"/>
      <c r="H65" s="268"/>
      <c r="I65" s="268"/>
      <c r="J65" s="268"/>
      <c r="K65" s="268"/>
      <c r="L65" s="268"/>
      <c r="M65" s="268"/>
      <c r="N65" s="268"/>
      <c r="O65" s="268"/>
      <c r="P65" s="268"/>
      <c r="Q65" s="268"/>
      <c r="R65" s="268"/>
      <c r="S65" s="269"/>
    </row>
    <row r="66" spans="1:19" x14ac:dyDescent="0.3">
      <c r="A66" s="270"/>
      <c r="B66" s="268"/>
      <c r="C66" s="615"/>
      <c r="D66" s="611"/>
      <c r="E66" s="611"/>
      <c r="F66" s="616"/>
      <c r="G66" s="268"/>
      <c r="H66" s="268"/>
      <c r="I66" s="268"/>
      <c r="J66" s="268"/>
      <c r="K66" s="268"/>
      <c r="L66" s="268"/>
      <c r="M66" s="268"/>
      <c r="N66" s="268"/>
      <c r="O66" s="268"/>
      <c r="P66" s="268"/>
      <c r="Q66" s="268"/>
      <c r="R66" s="268"/>
      <c r="S66" s="269"/>
    </row>
    <row r="67" spans="1:19" x14ac:dyDescent="0.3">
      <c r="A67" s="270"/>
      <c r="B67" s="268"/>
      <c r="C67" s="615"/>
      <c r="D67" s="611"/>
      <c r="E67" s="611"/>
      <c r="F67" s="616"/>
      <c r="G67" s="268"/>
      <c r="H67" s="268"/>
      <c r="I67" s="268"/>
      <c r="J67" s="268"/>
      <c r="K67" s="268"/>
      <c r="L67" s="268"/>
      <c r="M67" s="268"/>
      <c r="N67" s="268"/>
      <c r="O67" s="268"/>
      <c r="P67" s="268"/>
      <c r="Q67" s="268"/>
      <c r="R67" s="268"/>
      <c r="S67" s="269"/>
    </row>
    <row r="68" spans="1:19" x14ac:dyDescent="0.3">
      <c r="A68" s="270"/>
      <c r="B68" s="268"/>
      <c r="C68" s="615"/>
      <c r="D68" s="611"/>
      <c r="E68" s="611"/>
      <c r="F68" s="616"/>
      <c r="G68" s="268"/>
      <c r="H68" s="268"/>
      <c r="I68" s="268"/>
      <c r="J68" s="268"/>
      <c r="K68" s="268"/>
      <c r="L68" s="268"/>
      <c r="M68" s="268"/>
      <c r="N68" s="268"/>
      <c r="O68" s="268"/>
      <c r="P68" s="268"/>
      <c r="Q68" s="268"/>
      <c r="R68" s="268"/>
      <c r="S68" s="269"/>
    </row>
    <row r="69" spans="1:19" x14ac:dyDescent="0.3">
      <c r="A69" s="270"/>
      <c r="B69" s="268"/>
      <c r="C69" s="615"/>
      <c r="D69" s="611"/>
      <c r="E69" s="611"/>
      <c r="F69" s="616"/>
      <c r="G69" s="268"/>
      <c r="H69" s="268"/>
      <c r="I69" s="268"/>
      <c r="J69" s="268"/>
      <c r="K69" s="268"/>
      <c r="L69" s="268"/>
      <c r="M69" s="268"/>
      <c r="N69" s="268"/>
      <c r="O69" s="268"/>
      <c r="P69" s="268"/>
      <c r="Q69" s="268"/>
      <c r="R69" s="268"/>
      <c r="S69" s="269"/>
    </row>
    <row r="70" spans="1:19" x14ac:dyDescent="0.3">
      <c r="A70" s="270"/>
      <c r="B70" s="268"/>
      <c r="C70" s="615"/>
      <c r="D70" s="611"/>
      <c r="E70" s="611"/>
      <c r="F70" s="616"/>
      <c r="G70" s="268"/>
      <c r="H70" s="268"/>
      <c r="I70" s="268"/>
      <c r="J70" s="268"/>
      <c r="K70" s="268"/>
      <c r="L70" s="268"/>
      <c r="M70" s="268"/>
      <c r="N70" s="268"/>
      <c r="O70" s="268"/>
      <c r="P70" s="268"/>
      <c r="Q70" s="268"/>
      <c r="R70" s="268"/>
      <c r="S70" s="269"/>
    </row>
    <row r="71" spans="1:19" ht="15" thickBot="1" x14ac:dyDescent="0.35">
      <c r="A71" s="272"/>
      <c r="B71" s="273"/>
      <c r="C71" s="617"/>
      <c r="D71" s="618"/>
      <c r="E71" s="618"/>
      <c r="F71" s="619"/>
      <c r="G71" s="273"/>
      <c r="H71" s="273"/>
      <c r="I71" s="273"/>
      <c r="J71" s="273"/>
      <c r="K71" s="273"/>
      <c r="L71" s="273"/>
      <c r="M71" s="273"/>
      <c r="N71" s="273"/>
      <c r="O71" s="273"/>
      <c r="P71" s="273"/>
      <c r="Q71" s="273"/>
      <c r="R71" s="273"/>
      <c r="S71" s="274"/>
    </row>
    <row r="72" spans="1:19" x14ac:dyDescent="0.3">
      <c r="G72" s="174"/>
    </row>
  </sheetData>
  <sheetProtection algorithmName="SHA-512" hashValue="WwASyj2QxUGt68DnyV7ZS+0K6OftGXzoCPGsgTzH0ftM0YeYJMQnplheCLp7Ph3+/cPcWwSQ8flMEQ+MsYfFSg==" saltValue="eXRdUJgKJEfW/14rkjVJtg==" spinCount="100000" sheet="1" objects="1" scenarios="1" selectLockedCells="1"/>
  <mergeCells count="78">
    <mergeCell ref="L62:N62"/>
    <mergeCell ref="H56:J56"/>
    <mergeCell ref="L56:N56"/>
    <mergeCell ref="H58:J58"/>
    <mergeCell ref="L58:N58"/>
    <mergeCell ref="H52:J52"/>
    <mergeCell ref="L52:N52"/>
    <mergeCell ref="O52:S56"/>
    <mergeCell ref="A53:F53"/>
    <mergeCell ref="H53:J53"/>
    <mergeCell ref="L53:N53"/>
    <mergeCell ref="A54:B56"/>
    <mergeCell ref="C54:F71"/>
    <mergeCell ref="H55:J55"/>
    <mergeCell ref="L55:N55"/>
    <mergeCell ref="O58:S62"/>
    <mergeCell ref="H59:J59"/>
    <mergeCell ref="L59:N59"/>
    <mergeCell ref="H61:J61"/>
    <mergeCell ref="L61:N61"/>
    <mergeCell ref="H62:J62"/>
    <mergeCell ref="L46:N46"/>
    <mergeCell ref="O46:S50"/>
    <mergeCell ref="H47:J47"/>
    <mergeCell ref="L47:N47"/>
    <mergeCell ref="H49:J49"/>
    <mergeCell ref="L49:N49"/>
    <mergeCell ref="H50:J50"/>
    <mergeCell ref="L50:N50"/>
    <mergeCell ref="A33:F33"/>
    <mergeCell ref="A34:B36"/>
    <mergeCell ref="C34:F51"/>
    <mergeCell ref="H38:S38"/>
    <mergeCell ref="H40:J40"/>
    <mergeCell ref="M18:S35"/>
    <mergeCell ref="H19:K26"/>
    <mergeCell ref="L40:N40"/>
    <mergeCell ref="O40:S44"/>
    <mergeCell ref="H41:J41"/>
    <mergeCell ref="L41:N41"/>
    <mergeCell ref="H43:J43"/>
    <mergeCell ref="L43:N43"/>
    <mergeCell ref="H44:J44"/>
    <mergeCell ref="L44:N44"/>
    <mergeCell ref="H46:J46"/>
    <mergeCell ref="A11:B11"/>
    <mergeCell ref="E11:F11"/>
    <mergeCell ref="A13:F13"/>
    <mergeCell ref="H13:S14"/>
    <mergeCell ref="A14:B16"/>
    <mergeCell ref="C14:F31"/>
    <mergeCell ref="H15:K15"/>
    <mergeCell ref="L15:O15"/>
    <mergeCell ref="P15:S15"/>
    <mergeCell ref="H16:K16"/>
    <mergeCell ref="L16:O16"/>
    <mergeCell ref="P16:S16"/>
    <mergeCell ref="H18:K18"/>
    <mergeCell ref="A8:B8"/>
    <mergeCell ref="E8:F8"/>
    <mergeCell ref="A9:B9"/>
    <mergeCell ref="E9:F9"/>
    <mergeCell ref="A10:B10"/>
    <mergeCell ref="E10:F10"/>
    <mergeCell ref="A5:B5"/>
    <mergeCell ref="C5:D5"/>
    <mergeCell ref="E5:F5"/>
    <mergeCell ref="A6:B6"/>
    <mergeCell ref="C6:D6"/>
    <mergeCell ref="E6:F6"/>
    <mergeCell ref="A4:B4"/>
    <mergeCell ref="C4:D4"/>
    <mergeCell ref="E4:F4"/>
    <mergeCell ref="A1:S1"/>
    <mergeCell ref="E2:F2"/>
    <mergeCell ref="A3:B3"/>
    <mergeCell ref="C3:D3"/>
    <mergeCell ref="E3:F3"/>
  </mergeCells>
  <dataValidations count="6">
    <dataValidation type="list" allowBlank="1" showInputMessage="1" showErrorMessage="1" sqref="B2" xr:uid="{E828B033-C4F3-4B06-B795-260AEB06A239}">
      <formula1>"Choose one:,Adis Coulibaly, Brittany Kronmiller, Dwayne Marshall, Frank Chiki, Graham Collins, Meg Richert, Mitch Fortune, Tracie Mansfield"</formula1>
    </dataValidation>
    <dataValidation type="list" allowBlank="1" showInputMessage="1" showErrorMessage="1" sqref="D9" xr:uid="{43EB6A2F-9964-4C27-899B-C7C129770C96}">
      <formula1>"Yes, No, Not Applicable"</formula1>
    </dataValidation>
    <dataValidation type="list" allowBlank="1" showInputMessage="1" showErrorMessage="1" sqref="A54:B54 A34:B34 A14:B16" xr:uid="{AD2CA351-0435-4F20-B831-F7A2F895345C}">
      <formula1>"Choose One:,Not Applicable,Budget and descriptions are complete.,Revisions needed."</formula1>
    </dataValidation>
    <dataValidation type="list" allowBlank="1" showInputMessage="1" showErrorMessage="1" sqref="H44 H50 H56 H62" xr:uid="{93F8819F-25B4-4487-8EF9-33F66C870798}">
      <formula1>"Choose one:,Sent E-mail, Left Voice Mail, Application Revision in Process, Revision Complete"</formula1>
    </dataValidation>
    <dataValidation type="list" allowBlank="1" showInputMessage="1" showErrorMessage="1" sqref="A9:B9 E9:F9" xr:uid="{C231346E-4C3E-41C2-AF5A-5760FFBC7B74}">
      <formula1>"Choose One:,Yes, No, Not Applicable"</formula1>
    </dataValidation>
    <dataValidation type="list" allowBlank="1" showInputMessage="1" showErrorMessage="1" sqref="H16:S16" xr:uid="{019307E5-3BDA-4A69-B372-789E5854A2F7}">
      <formula1>"Choose One:,Yes, No, Not Applicable, 0 Participating"</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3F335-BEAD-4A67-9D6B-ED0896C73D39}">
  <sheetPr codeName="Sheet3">
    <tabColor rgb="FF92D050"/>
  </sheetPr>
  <dimension ref="A1:Q26"/>
  <sheetViews>
    <sheetView zoomScaleNormal="100" workbookViewId="0">
      <selection activeCell="A13" sqref="A13:P26"/>
    </sheetView>
  </sheetViews>
  <sheetFormatPr defaultRowHeight="14.4" x14ac:dyDescent="0.3"/>
  <cols>
    <col min="1" max="16" width="12.5546875" customWidth="1"/>
  </cols>
  <sheetData>
    <row r="1" spans="1:17" ht="24" customHeight="1" x14ac:dyDescent="0.3">
      <c r="A1" s="492" t="s">
        <v>131</v>
      </c>
      <c r="B1" s="493"/>
      <c r="C1" s="493"/>
      <c r="D1" s="493"/>
      <c r="E1" s="493"/>
      <c r="F1" s="493"/>
      <c r="G1" s="493"/>
      <c r="H1" s="493"/>
      <c r="I1" s="493"/>
      <c r="J1" s="493"/>
      <c r="K1" s="493"/>
      <c r="L1" s="493"/>
      <c r="M1" s="493"/>
      <c r="N1" s="493"/>
      <c r="O1" s="493"/>
      <c r="P1" s="493"/>
    </row>
    <row r="2" spans="1:17" ht="30" customHeight="1" thickBot="1" x14ac:dyDescent="0.35">
      <c r="A2" s="494" t="s">
        <v>1972</v>
      </c>
      <c r="B2" s="495"/>
      <c r="C2" s="495"/>
      <c r="D2" s="495"/>
      <c r="E2" s="495"/>
      <c r="F2" s="495"/>
      <c r="G2" s="495"/>
      <c r="H2" s="495"/>
      <c r="I2" s="495"/>
      <c r="J2" s="495"/>
      <c r="K2" s="495"/>
      <c r="L2" s="495"/>
      <c r="M2" s="495"/>
      <c r="N2" s="495"/>
      <c r="O2" s="495"/>
      <c r="P2" s="495"/>
    </row>
    <row r="3" spans="1:17" x14ac:dyDescent="0.3">
      <c r="A3" s="520" t="s">
        <v>1973</v>
      </c>
      <c r="B3" s="521"/>
      <c r="C3" s="521"/>
      <c r="D3" s="521"/>
      <c r="E3" s="521"/>
      <c r="F3" s="521"/>
      <c r="G3" s="521"/>
      <c r="H3" s="522"/>
      <c r="I3" s="520" t="s">
        <v>1974</v>
      </c>
      <c r="J3" s="521"/>
      <c r="K3" s="521"/>
      <c r="L3" s="521"/>
      <c r="M3" s="521"/>
      <c r="N3" s="521"/>
      <c r="O3" s="521"/>
      <c r="P3" s="522"/>
      <c r="Q3" s="18"/>
    </row>
    <row r="4" spans="1:17" x14ac:dyDescent="0.3">
      <c r="A4" s="514" t="s">
        <v>1975</v>
      </c>
      <c r="B4" s="515"/>
      <c r="C4" s="515"/>
      <c r="D4" s="515"/>
      <c r="E4" s="515"/>
      <c r="F4" s="515"/>
      <c r="G4" s="515"/>
      <c r="H4" s="516"/>
      <c r="I4" s="514" t="s">
        <v>1976</v>
      </c>
      <c r="J4" s="515"/>
      <c r="K4" s="515"/>
      <c r="L4" s="515"/>
      <c r="M4" s="515"/>
      <c r="N4" s="515"/>
      <c r="O4" s="515"/>
      <c r="P4" s="516"/>
      <c r="Q4" s="18"/>
    </row>
    <row r="5" spans="1:17" x14ac:dyDescent="0.3">
      <c r="A5" s="517"/>
      <c r="B5" s="518"/>
      <c r="C5" s="518"/>
      <c r="D5" s="518"/>
      <c r="E5" s="518"/>
      <c r="F5" s="518"/>
      <c r="G5" s="518"/>
      <c r="H5" s="519"/>
      <c r="I5" s="517"/>
      <c r="J5" s="518"/>
      <c r="K5" s="518"/>
      <c r="L5" s="518"/>
      <c r="M5" s="518"/>
      <c r="N5" s="518"/>
      <c r="O5" s="518"/>
      <c r="P5" s="519"/>
      <c r="Q5" s="18"/>
    </row>
    <row r="6" spans="1:17" x14ac:dyDescent="0.3">
      <c r="A6" s="517"/>
      <c r="B6" s="518"/>
      <c r="C6" s="518"/>
      <c r="D6" s="518"/>
      <c r="E6" s="518"/>
      <c r="F6" s="518"/>
      <c r="G6" s="518"/>
      <c r="H6" s="519"/>
      <c r="I6" s="517"/>
      <c r="J6" s="518"/>
      <c r="K6" s="518"/>
      <c r="L6" s="518"/>
      <c r="M6" s="518"/>
      <c r="N6" s="518"/>
      <c r="O6" s="518"/>
      <c r="P6" s="519"/>
      <c r="Q6" s="18"/>
    </row>
    <row r="7" spans="1:17" x14ac:dyDescent="0.3">
      <c r="A7" s="517"/>
      <c r="B7" s="518"/>
      <c r="C7" s="518"/>
      <c r="D7" s="518"/>
      <c r="E7" s="518"/>
      <c r="F7" s="518"/>
      <c r="G7" s="518"/>
      <c r="H7" s="519"/>
      <c r="I7" s="517"/>
      <c r="J7" s="518"/>
      <c r="K7" s="518"/>
      <c r="L7" s="518"/>
      <c r="M7" s="518"/>
      <c r="N7" s="518"/>
      <c r="O7" s="518"/>
      <c r="P7" s="519"/>
      <c r="Q7" s="18"/>
    </row>
    <row r="8" spans="1:17" x14ac:dyDescent="0.3">
      <c r="A8" s="517"/>
      <c r="B8" s="518"/>
      <c r="C8" s="518"/>
      <c r="D8" s="518"/>
      <c r="E8" s="518"/>
      <c r="F8" s="518"/>
      <c r="G8" s="518"/>
      <c r="H8" s="519"/>
      <c r="I8" s="517"/>
      <c r="J8" s="518"/>
      <c r="K8" s="518"/>
      <c r="L8" s="518"/>
      <c r="M8" s="518"/>
      <c r="N8" s="518"/>
      <c r="O8" s="518"/>
      <c r="P8" s="519"/>
      <c r="Q8" s="18"/>
    </row>
    <row r="9" spans="1:17" x14ac:dyDescent="0.3">
      <c r="A9" s="517"/>
      <c r="B9" s="518"/>
      <c r="C9" s="518"/>
      <c r="D9" s="518"/>
      <c r="E9" s="518"/>
      <c r="F9" s="518"/>
      <c r="G9" s="518"/>
      <c r="H9" s="519"/>
      <c r="I9" s="517"/>
      <c r="J9" s="518"/>
      <c r="K9" s="518"/>
      <c r="L9" s="518"/>
      <c r="M9" s="518"/>
      <c r="N9" s="518"/>
      <c r="O9" s="518"/>
      <c r="P9" s="519"/>
      <c r="Q9" s="18"/>
    </row>
    <row r="10" spans="1:17" ht="7.2" customHeight="1" thickBot="1" x14ac:dyDescent="0.35">
      <c r="A10" s="517"/>
      <c r="B10" s="518"/>
      <c r="C10" s="518"/>
      <c r="D10" s="518"/>
      <c r="E10" s="518"/>
      <c r="F10" s="518"/>
      <c r="G10" s="518"/>
      <c r="H10" s="519"/>
      <c r="I10" s="517"/>
      <c r="J10" s="518"/>
      <c r="K10" s="518"/>
      <c r="L10" s="518"/>
      <c r="M10" s="518"/>
      <c r="N10" s="518"/>
      <c r="O10" s="518"/>
      <c r="P10" s="519"/>
      <c r="Q10" s="18"/>
    </row>
    <row r="11" spans="1:17" ht="7.2" customHeight="1" thickBot="1" x14ac:dyDescent="0.35">
      <c r="A11" s="511" t="s">
        <v>142</v>
      </c>
      <c r="B11" s="512"/>
      <c r="C11" s="512"/>
      <c r="D11" s="512"/>
      <c r="E11" s="512"/>
      <c r="F11" s="512"/>
      <c r="G11" s="512"/>
      <c r="H11" s="512"/>
      <c r="I11" s="512"/>
      <c r="J11" s="512"/>
      <c r="K11" s="512"/>
      <c r="L11" s="512"/>
      <c r="M11" s="512"/>
      <c r="N11" s="512"/>
      <c r="O11" s="512"/>
      <c r="P11" s="513"/>
      <c r="Q11" s="18"/>
    </row>
    <row r="12" spans="1:17" ht="19.2" customHeight="1" thickBot="1" x14ac:dyDescent="0.35">
      <c r="A12" s="494" t="s">
        <v>132</v>
      </c>
      <c r="B12" s="495"/>
      <c r="C12" s="495"/>
      <c r="D12" s="495"/>
      <c r="E12" s="495"/>
      <c r="F12" s="495"/>
      <c r="G12" s="495"/>
      <c r="H12" s="495"/>
      <c r="I12" s="495"/>
      <c r="J12" s="495"/>
      <c r="K12" s="495"/>
      <c r="L12" s="495"/>
      <c r="M12" s="495"/>
      <c r="N12" s="495"/>
      <c r="O12" s="495"/>
      <c r="P12" s="495"/>
      <c r="Q12" s="18"/>
    </row>
    <row r="13" spans="1:17" x14ac:dyDescent="0.3">
      <c r="A13" s="502"/>
      <c r="B13" s="503"/>
      <c r="C13" s="503"/>
      <c r="D13" s="503"/>
      <c r="E13" s="503"/>
      <c r="F13" s="503"/>
      <c r="G13" s="503"/>
      <c r="H13" s="503"/>
      <c r="I13" s="503"/>
      <c r="J13" s="503"/>
      <c r="K13" s="503"/>
      <c r="L13" s="503"/>
      <c r="M13" s="503"/>
      <c r="N13" s="503"/>
      <c r="O13" s="503"/>
      <c r="P13" s="504"/>
      <c r="Q13" s="18"/>
    </row>
    <row r="14" spans="1:17" x14ac:dyDescent="0.3">
      <c r="A14" s="505"/>
      <c r="B14" s="506"/>
      <c r="C14" s="506"/>
      <c r="D14" s="506"/>
      <c r="E14" s="506"/>
      <c r="F14" s="506"/>
      <c r="G14" s="506"/>
      <c r="H14" s="506"/>
      <c r="I14" s="506"/>
      <c r="J14" s="506"/>
      <c r="K14" s="506"/>
      <c r="L14" s="506"/>
      <c r="M14" s="506"/>
      <c r="N14" s="506"/>
      <c r="O14" s="506"/>
      <c r="P14" s="507"/>
    </row>
    <row r="15" spans="1:17" x14ac:dyDescent="0.3">
      <c r="A15" s="505"/>
      <c r="B15" s="506"/>
      <c r="C15" s="506"/>
      <c r="D15" s="506"/>
      <c r="E15" s="506"/>
      <c r="F15" s="506"/>
      <c r="G15" s="506"/>
      <c r="H15" s="506"/>
      <c r="I15" s="506"/>
      <c r="J15" s="506"/>
      <c r="K15" s="506"/>
      <c r="L15" s="506"/>
      <c r="M15" s="506"/>
      <c r="N15" s="506"/>
      <c r="O15" s="506"/>
      <c r="P15" s="507"/>
    </row>
    <row r="16" spans="1:17" x14ac:dyDescent="0.3">
      <c r="A16" s="505"/>
      <c r="B16" s="506"/>
      <c r="C16" s="506"/>
      <c r="D16" s="506"/>
      <c r="E16" s="506"/>
      <c r="F16" s="506"/>
      <c r="G16" s="506"/>
      <c r="H16" s="506"/>
      <c r="I16" s="506"/>
      <c r="J16" s="506"/>
      <c r="K16" s="506"/>
      <c r="L16" s="506"/>
      <c r="M16" s="506"/>
      <c r="N16" s="506"/>
      <c r="O16" s="506"/>
      <c r="P16" s="507"/>
    </row>
    <row r="17" spans="1:16" x14ac:dyDescent="0.3">
      <c r="A17" s="505"/>
      <c r="B17" s="506"/>
      <c r="C17" s="506"/>
      <c r="D17" s="506"/>
      <c r="E17" s="506"/>
      <c r="F17" s="506"/>
      <c r="G17" s="506"/>
      <c r="H17" s="506"/>
      <c r="I17" s="506"/>
      <c r="J17" s="506"/>
      <c r="K17" s="506"/>
      <c r="L17" s="506"/>
      <c r="M17" s="506"/>
      <c r="N17" s="506"/>
      <c r="O17" s="506"/>
      <c r="P17" s="507"/>
    </row>
    <row r="18" spans="1:16" x14ac:dyDescent="0.3">
      <c r="A18" s="505"/>
      <c r="B18" s="506"/>
      <c r="C18" s="506"/>
      <c r="D18" s="506"/>
      <c r="E18" s="506"/>
      <c r="F18" s="506"/>
      <c r="G18" s="506"/>
      <c r="H18" s="506"/>
      <c r="I18" s="506"/>
      <c r="J18" s="506"/>
      <c r="K18" s="506"/>
      <c r="L18" s="506"/>
      <c r="M18" s="506"/>
      <c r="N18" s="506"/>
      <c r="O18" s="506"/>
      <c r="P18" s="507"/>
    </row>
    <row r="19" spans="1:16" x14ac:dyDescent="0.3">
      <c r="A19" s="505"/>
      <c r="B19" s="506"/>
      <c r="C19" s="506"/>
      <c r="D19" s="506"/>
      <c r="E19" s="506"/>
      <c r="F19" s="506"/>
      <c r="G19" s="506"/>
      <c r="H19" s="506"/>
      <c r="I19" s="506"/>
      <c r="J19" s="506"/>
      <c r="K19" s="506"/>
      <c r="L19" s="506"/>
      <c r="M19" s="506"/>
      <c r="N19" s="506"/>
      <c r="O19" s="506"/>
      <c r="P19" s="507"/>
    </row>
    <row r="20" spans="1:16" x14ac:dyDescent="0.3">
      <c r="A20" s="505"/>
      <c r="B20" s="506"/>
      <c r="C20" s="506"/>
      <c r="D20" s="506"/>
      <c r="E20" s="506"/>
      <c r="F20" s="506"/>
      <c r="G20" s="506"/>
      <c r="H20" s="506"/>
      <c r="I20" s="506"/>
      <c r="J20" s="506"/>
      <c r="K20" s="506"/>
      <c r="L20" s="506"/>
      <c r="M20" s="506"/>
      <c r="N20" s="506"/>
      <c r="O20" s="506"/>
      <c r="P20" s="507"/>
    </row>
    <row r="21" spans="1:16" x14ac:dyDescent="0.3">
      <c r="A21" s="505"/>
      <c r="B21" s="506"/>
      <c r="C21" s="506"/>
      <c r="D21" s="506"/>
      <c r="E21" s="506"/>
      <c r="F21" s="506"/>
      <c r="G21" s="506"/>
      <c r="H21" s="506"/>
      <c r="I21" s="506"/>
      <c r="J21" s="506"/>
      <c r="K21" s="506"/>
      <c r="L21" s="506"/>
      <c r="M21" s="506"/>
      <c r="N21" s="506"/>
      <c r="O21" s="506"/>
      <c r="P21" s="507"/>
    </row>
    <row r="22" spans="1:16" x14ac:dyDescent="0.3">
      <c r="A22" s="505"/>
      <c r="B22" s="506"/>
      <c r="C22" s="506"/>
      <c r="D22" s="506"/>
      <c r="E22" s="506"/>
      <c r="F22" s="506"/>
      <c r="G22" s="506"/>
      <c r="H22" s="506"/>
      <c r="I22" s="506"/>
      <c r="J22" s="506"/>
      <c r="K22" s="506"/>
      <c r="L22" s="506"/>
      <c r="M22" s="506"/>
      <c r="N22" s="506"/>
      <c r="O22" s="506"/>
      <c r="P22" s="507"/>
    </row>
    <row r="23" spans="1:16" x14ac:dyDescent="0.3">
      <c r="A23" s="505"/>
      <c r="B23" s="506"/>
      <c r="C23" s="506"/>
      <c r="D23" s="506"/>
      <c r="E23" s="506"/>
      <c r="F23" s="506"/>
      <c r="G23" s="506"/>
      <c r="H23" s="506"/>
      <c r="I23" s="506"/>
      <c r="J23" s="506"/>
      <c r="K23" s="506"/>
      <c r="L23" s="506"/>
      <c r="M23" s="506"/>
      <c r="N23" s="506"/>
      <c r="O23" s="506"/>
      <c r="P23" s="507"/>
    </row>
    <row r="24" spans="1:16" x14ac:dyDescent="0.3">
      <c r="A24" s="505"/>
      <c r="B24" s="506"/>
      <c r="C24" s="506"/>
      <c r="D24" s="506"/>
      <c r="E24" s="506"/>
      <c r="F24" s="506"/>
      <c r="G24" s="506"/>
      <c r="H24" s="506"/>
      <c r="I24" s="506"/>
      <c r="J24" s="506"/>
      <c r="K24" s="506"/>
      <c r="L24" s="506"/>
      <c r="M24" s="506"/>
      <c r="N24" s="506"/>
      <c r="O24" s="506"/>
      <c r="P24" s="507"/>
    </row>
    <row r="25" spans="1:16" x14ac:dyDescent="0.3">
      <c r="A25" s="505"/>
      <c r="B25" s="506"/>
      <c r="C25" s="506"/>
      <c r="D25" s="506"/>
      <c r="E25" s="506"/>
      <c r="F25" s="506"/>
      <c r="G25" s="506"/>
      <c r="H25" s="506"/>
      <c r="I25" s="506"/>
      <c r="J25" s="506"/>
      <c r="K25" s="506"/>
      <c r="L25" s="506"/>
      <c r="M25" s="506"/>
      <c r="N25" s="506"/>
      <c r="O25" s="506"/>
      <c r="P25" s="507"/>
    </row>
    <row r="26" spans="1:16" ht="15" thickBot="1" x14ac:dyDescent="0.35">
      <c r="A26" s="508"/>
      <c r="B26" s="509"/>
      <c r="C26" s="509"/>
      <c r="D26" s="509"/>
      <c r="E26" s="509"/>
      <c r="F26" s="509"/>
      <c r="G26" s="509"/>
      <c r="H26" s="509"/>
      <c r="I26" s="509"/>
      <c r="J26" s="509"/>
      <c r="K26" s="509"/>
      <c r="L26" s="509"/>
      <c r="M26" s="509"/>
      <c r="N26" s="509"/>
      <c r="O26" s="509"/>
      <c r="P26" s="510"/>
    </row>
  </sheetData>
  <sheetProtection algorithmName="SHA-512" hashValue="YweL1eycl2BV6V+Erq5MQdAZyRMuxJc/RWDlENpiwxAL+jd1OuMU9iCxXK2mOpp1fxDcl2CAkYsZWoFK2PBKtQ==" saltValue="zsZKlZXjmuDXC9yR1+7aRA==" spinCount="100000" sheet="1" objects="1" scenarios="1"/>
  <mergeCells count="9">
    <mergeCell ref="A13:P26"/>
    <mergeCell ref="A11:P11"/>
    <mergeCell ref="A12:P12"/>
    <mergeCell ref="A1:P1"/>
    <mergeCell ref="A2:P2"/>
    <mergeCell ref="A4:H10"/>
    <mergeCell ref="I4:P10"/>
    <mergeCell ref="I3:P3"/>
    <mergeCell ref="A3:H3"/>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30387-48C3-4415-A2EA-F874E63F3AA8}">
  <sheetPr codeName="Sheet33">
    <tabColor theme="5" tint="0.39997558519241921"/>
  </sheetPr>
  <dimension ref="A1:M46"/>
  <sheetViews>
    <sheetView topLeftCell="A20" zoomScaleNormal="100" workbookViewId="0">
      <selection activeCell="D46" sqref="D46"/>
    </sheetView>
  </sheetViews>
  <sheetFormatPr defaultColWidth="9.109375" defaultRowHeight="14.4" x14ac:dyDescent="0.3"/>
  <cols>
    <col min="1" max="1" width="43.109375" style="14" customWidth="1"/>
    <col min="2" max="4" width="16.6640625" style="14" customWidth="1"/>
    <col min="5" max="5" width="4.5546875" style="14" customWidth="1"/>
    <col min="6" max="16384" width="9.109375" style="14"/>
  </cols>
  <sheetData>
    <row r="1" spans="1:13" x14ac:dyDescent="0.3">
      <c r="A1" s="796" t="s">
        <v>148</v>
      </c>
      <c r="B1" s="797"/>
      <c r="C1" s="797"/>
      <c r="D1" s="798"/>
    </row>
    <row r="2" spans="1:13" x14ac:dyDescent="0.3">
      <c r="A2" s="799" t="s">
        <v>1996</v>
      </c>
      <c r="B2" s="800"/>
      <c r="C2" s="800"/>
      <c r="D2" s="801"/>
    </row>
    <row r="3" spans="1:13" x14ac:dyDescent="0.3">
      <c r="A3" s="799" t="s">
        <v>1981</v>
      </c>
      <c r="B3" s="800"/>
      <c r="C3" s="800"/>
      <c r="D3" s="801"/>
    </row>
    <row r="4" spans="1:13" x14ac:dyDescent="0.3">
      <c r="A4" s="236" t="s">
        <v>149</v>
      </c>
      <c r="B4" s="237">
        <f>'Reimbursement Form'!B4</f>
        <v>0</v>
      </c>
      <c r="C4" s="238" t="s">
        <v>2030</v>
      </c>
      <c r="D4" s="239"/>
    </row>
    <row r="5" spans="1:13" x14ac:dyDescent="0.3">
      <c r="A5" s="107" t="s">
        <v>150</v>
      </c>
      <c r="B5" s="668">
        <f>Overview!C4</f>
        <v>0</v>
      </c>
      <c r="C5" s="668"/>
      <c r="D5" s="108"/>
    </row>
    <row r="6" spans="1:13" x14ac:dyDescent="0.3">
      <c r="A6" s="109" t="s">
        <v>151</v>
      </c>
      <c r="B6" s="669" t="s">
        <v>152</v>
      </c>
      <c r="C6" s="669"/>
      <c r="D6" s="670"/>
    </row>
    <row r="7" spans="1:13" x14ac:dyDescent="0.3">
      <c r="A7" s="109" t="s">
        <v>153</v>
      </c>
      <c r="B7" s="650" t="s">
        <v>154</v>
      </c>
      <c r="C7" s="650"/>
      <c r="D7" s="651"/>
    </row>
    <row r="8" spans="1:13" x14ac:dyDescent="0.3">
      <c r="A8" s="265" t="s">
        <v>2031</v>
      </c>
      <c r="B8" s="652" t="s">
        <v>1995</v>
      </c>
      <c r="C8" s="652"/>
      <c r="D8" s="653"/>
    </row>
    <row r="9" spans="1:13" ht="15" thickBot="1" x14ac:dyDescent="0.35">
      <c r="A9" s="654" t="s">
        <v>155</v>
      </c>
      <c r="B9" s="655"/>
      <c r="C9" s="655"/>
      <c r="D9" s="656"/>
    </row>
    <row r="10" spans="1:13" ht="27.6" x14ac:dyDescent="0.3">
      <c r="A10" s="657" t="s">
        <v>417</v>
      </c>
      <c r="B10" s="659" t="s">
        <v>156</v>
      </c>
      <c r="C10" s="156" t="s">
        <v>157</v>
      </c>
      <c r="D10" s="660" t="s">
        <v>158</v>
      </c>
      <c r="F10" s="409" t="s">
        <v>2013</v>
      </c>
      <c r="G10" s="410"/>
      <c r="H10" s="410"/>
      <c r="I10" s="410"/>
      <c r="J10" s="410"/>
      <c r="K10" s="410"/>
      <c r="L10" s="410"/>
      <c r="M10" s="411"/>
    </row>
    <row r="11" spans="1:13" ht="15" thickBot="1" x14ac:dyDescent="0.35">
      <c r="A11" s="658"/>
      <c r="B11" s="659"/>
      <c r="C11" s="162" t="s">
        <v>159</v>
      </c>
      <c r="D11" s="661"/>
      <c r="F11" s="412"/>
      <c r="G11" s="413"/>
      <c r="H11" s="413"/>
      <c r="I11" s="413"/>
      <c r="J11" s="413"/>
      <c r="K11" s="413"/>
      <c r="L11" s="413"/>
      <c r="M11" s="414"/>
    </row>
    <row r="12" spans="1:13" ht="27.6" customHeight="1" x14ac:dyDescent="0.3">
      <c r="A12" s="110" t="s">
        <v>160</v>
      </c>
      <c r="B12" s="111">
        <f>'Amend#4 Main Budget'!G27</f>
        <v>0</v>
      </c>
      <c r="C12" s="154"/>
      <c r="D12" s="157"/>
      <c r="F12" s="644" t="s">
        <v>2014</v>
      </c>
      <c r="G12" s="645"/>
      <c r="H12" s="645"/>
      <c r="I12" s="645"/>
      <c r="J12" s="645"/>
      <c r="K12" s="645"/>
      <c r="L12" s="645"/>
      <c r="M12" s="646"/>
    </row>
    <row r="13" spans="1:13" x14ac:dyDescent="0.3">
      <c r="A13" s="110" t="s">
        <v>161</v>
      </c>
      <c r="B13" s="112">
        <f>'Amend#4 Main Budget'!G28</f>
        <v>0</v>
      </c>
      <c r="C13" s="154"/>
      <c r="D13" s="157"/>
      <c r="F13" s="644"/>
      <c r="G13" s="645"/>
      <c r="H13" s="645"/>
      <c r="I13" s="645"/>
      <c r="J13" s="645"/>
      <c r="K13" s="645"/>
      <c r="L13" s="645"/>
      <c r="M13" s="646"/>
    </row>
    <row r="14" spans="1:13" x14ac:dyDescent="0.3">
      <c r="A14" s="110" t="s">
        <v>162</v>
      </c>
      <c r="B14" s="111">
        <f>'Amend#4 Main Budget'!G29</f>
        <v>0</v>
      </c>
      <c r="C14" s="154"/>
      <c r="D14" s="157"/>
      <c r="F14" s="644"/>
      <c r="G14" s="645"/>
      <c r="H14" s="645"/>
      <c r="I14" s="645"/>
      <c r="J14" s="645"/>
      <c r="K14" s="645"/>
      <c r="L14" s="645"/>
      <c r="M14" s="646"/>
    </row>
    <row r="15" spans="1:13" x14ac:dyDescent="0.3">
      <c r="A15" s="110" t="s">
        <v>163</v>
      </c>
      <c r="B15" s="113">
        <f>'Amend#4 Main Budget'!M23-B19</f>
        <v>0</v>
      </c>
      <c r="C15" s="154"/>
      <c r="D15" s="157"/>
      <c r="F15" s="644"/>
      <c r="G15" s="645"/>
      <c r="H15" s="645"/>
      <c r="I15" s="645"/>
      <c r="J15" s="645"/>
      <c r="K15" s="645"/>
      <c r="L15" s="645"/>
      <c r="M15" s="646"/>
    </row>
    <row r="16" spans="1:13" x14ac:dyDescent="0.3">
      <c r="A16" s="110" t="s">
        <v>164</v>
      </c>
      <c r="B16" s="111">
        <f>'Amend#4 Main Budget'!M22-B20</f>
        <v>0</v>
      </c>
      <c r="C16" s="154"/>
      <c r="D16" s="157"/>
      <c r="F16" s="644"/>
      <c r="G16" s="645"/>
      <c r="H16" s="645"/>
      <c r="I16" s="645"/>
      <c r="J16" s="645"/>
      <c r="K16" s="645"/>
      <c r="L16" s="645"/>
      <c r="M16" s="646"/>
    </row>
    <row r="17" spans="1:13" x14ac:dyDescent="0.3">
      <c r="A17" s="110" t="s">
        <v>2018</v>
      </c>
      <c r="B17" s="245"/>
      <c r="C17" s="155"/>
      <c r="D17" s="263"/>
      <c r="F17" s="644"/>
      <c r="G17" s="645"/>
      <c r="H17" s="645"/>
      <c r="I17" s="645"/>
      <c r="J17" s="645"/>
      <c r="K17" s="645"/>
      <c r="L17" s="645"/>
      <c r="M17" s="646"/>
    </row>
    <row r="18" spans="1:13" x14ac:dyDescent="0.3">
      <c r="A18" s="110" t="s">
        <v>2019</v>
      </c>
      <c r="B18" s="245">
        <f>SUM('Amend#4 NPS Activities'!D112-(B19+B20))</f>
        <v>0</v>
      </c>
      <c r="C18" s="155"/>
      <c r="D18" s="263"/>
      <c r="F18" s="644"/>
      <c r="G18" s="645"/>
      <c r="H18" s="645"/>
      <c r="I18" s="645"/>
      <c r="J18" s="645"/>
      <c r="K18" s="645"/>
      <c r="L18" s="645"/>
      <c r="M18" s="646"/>
    </row>
    <row r="19" spans="1:13" x14ac:dyDescent="0.3">
      <c r="A19" s="110" t="s">
        <v>2020</v>
      </c>
      <c r="B19" s="245">
        <f>SUM('Amend#4 NPS Activities'!H30:H36)</f>
        <v>0</v>
      </c>
      <c r="C19" s="155"/>
      <c r="D19" s="263"/>
      <c r="F19" s="644"/>
      <c r="G19" s="645"/>
      <c r="H19" s="645"/>
      <c r="I19" s="645"/>
      <c r="J19" s="645"/>
      <c r="K19" s="645"/>
      <c r="L19" s="645"/>
      <c r="M19" s="646"/>
    </row>
    <row r="20" spans="1:13" x14ac:dyDescent="0.3">
      <c r="A20" s="110" t="s">
        <v>2021</v>
      </c>
      <c r="B20" s="245">
        <f>'Amend#4 NPS Activities'!H62</f>
        <v>0</v>
      </c>
      <c r="C20" s="155"/>
      <c r="D20" s="263"/>
      <c r="F20" s="644"/>
      <c r="G20" s="645"/>
      <c r="H20" s="645"/>
      <c r="I20" s="645"/>
      <c r="J20" s="645"/>
      <c r="K20" s="645"/>
      <c r="L20" s="645"/>
      <c r="M20" s="646"/>
    </row>
    <row r="21" spans="1:13" x14ac:dyDescent="0.3">
      <c r="A21" s="114" t="s">
        <v>165</v>
      </c>
      <c r="B21" s="115"/>
      <c r="C21" s="115"/>
      <c r="D21" s="115"/>
      <c r="F21" s="644"/>
      <c r="G21" s="645"/>
      <c r="H21" s="645"/>
      <c r="I21" s="645"/>
      <c r="J21" s="645"/>
      <c r="K21" s="645"/>
      <c r="L21" s="645"/>
      <c r="M21" s="646"/>
    </row>
    <row r="22" spans="1:13" x14ac:dyDescent="0.3">
      <c r="A22" s="116" t="s">
        <v>2006</v>
      </c>
      <c r="B22" s="117">
        <f>'Amend#4 Overview'!E19</f>
        <v>0</v>
      </c>
      <c r="C22" s="155"/>
      <c r="D22" s="263"/>
      <c r="F22" s="644"/>
      <c r="G22" s="645"/>
      <c r="H22" s="645"/>
      <c r="I22" s="645"/>
      <c r="J22" s="645"/>
      <c r="K22" s="645"/>
      <c r="L22" s="645"/>
      <c r="M22" s="646"/>
    </row>
    <row r="23" spans="1:13" x14ac:dyDescent="0.3">
      <c r="A23" s="116" t="s">
        <v>2007</v>
      </c>
      <c r="B23" s="117">
        <f>'Amend#4 Overview'!E20</f>
        <v>0</v>
      </c>
      <c r="C23" s="155"/>
      <c r="D23" s="263"/>
      <c r="F23" s="644"/>
      <c r="G23" s="645"/>
      <c r="H23" s="645"/>
      <c r="I23" s="645"/>
      <c r="J23" s="645"/>
      <c r="K23" s="645"/>
      <c r="L23" s="645"/>
      <c r="M23" s="646"/>
    </row>
    <row r="24" spans="1:13" x14ac:dyDescent="0.3">
      <c r="A24" s="116" t="s">
        <v>2008</v>
      </c>
      <c r="B24" s="117">
        <f>'Amend#4 Overview'!E21</f>
        <v>0</v>
      </c>
      <c r="C24" s="155"/>
      <c r="D24" s="263"/>
      <c r="F24" s="647"/>
      <c r="G24" s="648"/>
      <c r="H24" s="648"/>
      <c r="I24" s="648"/>
      <c r="J24" s="648"/>
      <c r="K24" s="648"/>
      <c r="L24" s="648"/>
      <c r="M24" s="649"/>
    </row>
    <row r="25" spans="1:13" x14ac:dyDescent="0.3">
      <c r="A25" s="116" t="s">
        <v>2009</v>
      </c>
      <c r="B25" s="117">
        <f>'Amend#4 Overview'!E22</f>
        <v>0</v>
      </c>
      <c r="C25" s="155"/>
      <c r="D25" s="263"/>
    </row>
    <row r="26" spans="1:13" x14ac:dyDescent="0.3">
      <c r="A26" s="116" t="s">
        <v>2010</v>
      </c>
      <c r="B26" s="117">
        <f>'Amend#4 Overview'!E23</f>
        <v>0</v>
      </c>
      <c r="C26" s="155"/>
      <c r="D26" s="263"/>
    </row>
    <row r="27" spans="1:13" ht="14.4" customHeight="1" thickBot="1" x14ac:dyDescent="0.35">
      <c r="A27" s="248" t="s">
        <v>2011</v>
      </c>
      <c r="B27" s="249">
        <f>'Amend#4 Overview'!E24</f>
        <v>0</v>
      </c>
      <c r="C27" s="250"/>
      <c r="D27" s="264"/>
    </row>
    <row r="28" spans="1:13" ht="14.4" customHeight="1" x14ac:dyDescent="0.3">
      <c r="A28" s="246" t="s">
        <v>2022</v>
      </c>
      <c r="B28" s="247">
        <f>SUM(B12:B27)</f>
        <v>0</v>
      </c>
      <c r="C28" s="259"/>
      <c r="D28" s="260"/>
    </row>
    <row r="29" spans="1:13" ht="15" thickBot="1" x14ac:dyDescent="0.35">
      <c r="A29" s="248" t="s">
        <v>2024</v>
      </c>
      <c r="B29" s="249">
        <f>'Amend#4 Overview'!G11</f>
        <v>0</v>
      </c>
      <c r="C29" s="261"/>
      <c r="D29" s="262"/>
    </row>
    <row r="30" spans="1:13" ht="15" thickBot="1" x14ac:dyDescent="0.35">
      <c r="A30" s="254" t="s">
        <v>2023</v>
      </c>
      <c r="B30" s="255">
        <f>B28-B29</f>
        <v>0</v>
      </c>
      <c r="C30" s="256">
        <f>SUM(C12:C27)</f>
        <v>0</v>
      </c>
      <c r="D30" s="257">
        <f>SUM(D12:D27)</f>
        <v>0</v>
      </c>
    </row>
    <row r="31" spans="1:13" ht="40.799999999999997" x14ac:dyDescent="0.3">
      <c r="A31" s="671"/>
      <c r="B31" s="672"/>
      <c r="C31" s="252" t="s">
        <v>399</v>
      </c>
      <c r="D31" s="253"/>
    </row>
    <row r="32" spans="1:13" ht="64.2" customHeight="1" x14ac:dyDescent="0.3">
      <c r="A32" s="676" t="s">
        <v>166</v>
      </c>
      <c r="B32" s="676"/>
      <c r="C32" s="676"/>
      <c r="D32" s="676"/>
    </row>
    <row r="33" spans="1:4" x14ac:dyDescent="0.3">
      <c r="A33" s="118" t="s">
        <v>167</v>
      </c>
      <c r="B33" s="119" t="s">
        <v>168</v>
      </c>
      <c r="C33" s="677"/>
      <c r="D33" s="678"/>
    </row>
    <row r="34" spans="1:4" x14ac:dyDescent="0.3">
      <c r="A34" s="120" t="s">
        <v>169</v>
      </c>
      <c r="B34" s="679"/>
      <c r="C34" s="679"/>
      <c r="D34" s="680"/>
    </row>
    <row r="35" spans="1:4" x14ac:dyDescent="0.3">
      <c r="A35" s="120" t="s">
        <v>170</v>
      </c>
      <c r="B35" s="679"/>
      <c r="C35" s="679"/>
      <c r="D35" s="680"/>
    </row>
    <row r="36" spans="1:4" x14ac:dyDescent="0.3">
      <c r="A36" s="120" t="s">
        <v>171</v>
      </c>
      <c r="B36" s="679"/>
      <c r="C36" s="679"/>
      <c r="D36" s="680"/>
    </row>
    <row r="37" spans="1:4" ht="4.2" customHeight="1" x14ac:dyDescent="0.3">
      <c r="A37" s="121"/>
      <c r="B37" s="122"/>
      <c r="C37" s="122"/>
      <c r="D37" s="123"/>
    </row>
    <row r="38" spans="1:4" ht="3.6" customHeight="1" x14ac:dyDescent="0.3">
      <c r="A38" s="685"/>
      <c r="B38" s="685"/>
      <c r="C38" s="685"/>
      <c r="D38" s="685"/>
    </row>
    <row r="39" spans="1:4" x14ac:dyDescent="0.3">
      <c r="A39" s="124" t="s">
        <v>172</v>
      </c>
      <c r="B39" s="125" t="s">
        <v>168</v>
      </c>
      <c r="C39" s="681"/>
      <c r="D39" s="682"/>
    </row>
    <row r="40" spans="1:4" ht="14.4" customHeight="1" x14ac:dyDescent="0.3">
      <c r="A40" s="107" t="s">
        <v>169</v>
      </c>
      <c r="B40" s="683"/>
      <c r="C40" s="683"/>
      <c r="D40" s="684"/>
    </row>
    <row r="41" spans="1:4" ht="14.4" customHeight="1" x14ac:dyDescent="0.3">
      <c r="A41" s="107" t="s">
        <v>170</v>
      </c>
      <c r="B41" s="683"/>
      <c r="C41" s="683"/>
      <c r="D41" s="684"/>
    </row>
    <row r="42" spans="1:4" x14ac:dyDescent="0.3">
      <c r="A42" s="107" t="s">
        <v>171</v>
      </c>
      <c r="B42" s="683"/>
      <c r="C42" s="683"/>
      <c r="D42" s="684"/>
    </row>
    <row r="43" spans="1:4" ht="4.8" customHeight="1" x14ac:dyDescent="0.3">
      <c r="A43" s="126"/>
      <c r="B43" s="127"/>
      <c r="C43" s="127"/>
      <c r="D43" s="128"/>
    </row>
    <row r="44" spans="1:4" ht="3.6" customHeight="1" x14ac:dyDescent="0.3">
      <c r="A44" s="686"/>
      <c r="B44" s="686"/>
      <c r="C44" s="686"/>
      <c r="D44" s="686"/>
    </row>
    <row r="45" spans="1:4" x14ac:dyDescent="0.3">
      <c r="A45" s="673" t="s">
        <v>173</v>
      </c>
      <c r="B45" s="687" t="s">
        <v>174</v>
      </c>
      <c r="C45" s="674" t="s">
        <v>175</v>
      </c>
      <c r="D45" s="129" t="s">
        <v>176</v>
      </c>
    </row>
    <row r="46" spans="1:4" x14ac:dyDescent="0.3">
      <c r="A46" s="673"/>
      <c r="B46" s="687"/>
      <c r="C46" s="675"/>
      <c r="D46" s="382" t="s">
        <v>177</v>
      </c>
    </row>
  </sheetData>
  <sheetProtection algorithmName="SHA-512" hashValue="L62ZU7bQR1kf1HFej8EcqrD7Q/i/MTVuP2N6NHFvlYWQjJvGxrivjUCZlzfrIvpXDc8HWXM/LSWBaXkwPICw3A==" saltValue="+tA+wVN9sn1ms4uNyQ+jwg==" spinCount="100000" sheet="1" objects="1" scenarios="1" selectLockedCells="1"/>
  <mergeCells count="28">
    <mergeCell ref="F12:M24"/>
    <mergeCell ref="B7:D7"/>
    <mergeCell ref="A1:D1"/>
    <mergeCell ref="A2:D2"/>
    <mergeCell ref="A3:D3"/>
    <mergeCell ref="B5:C5"/>
    <mergeCell ref="B6:D6"/>
    <mergeCell ref="F10:M11"/>
    <mergeCell ref="A38:D38"/>
    <mergeCell ref="C39:D39"/>
    <mergeCell ref="B8:D8"/>
    <mergeCell ref="A9:D9"/>
    <mergeCell ref="A10:A11"/>
    <mergeCell ref="B10:B11"/>
    <mergeCell ref="D10:D11"/>
    <mergeCell ref="B35:D35"/>
    <mergeCell ref="B36:D36"/>
    <mergeCell ref="A31:B31"/>
    <mergeCell ref="A32:D32"/>
    <mergeCell ref="C33:D33"/>
    <mergeCell ref="B34:D34"/>
    <mergeCell ref="B40:D40"/>
    <mergeCell ref="B41:D41"/>
    <mergeCell ref="B42:D42"/>
    <mergeCell ref="A44:D44"/>
    <mergeCell ref="A45:A46"/>
    <mergeCell ref="B45:B46"/>
    <mergeCell ref="C45:C46"/>
  </mergeCells>
  <hyperlinks>
    <hyperlink ref="D46" r:id="rId1" xr:uid="{AED9D52D-5C3B-4C4D-B0DB-AFD4B855A8F0}"/>
  </hyperlinks>
  <pageMargins left="0.5" right="0.5" top="0.5" bottom="0.5" header="0.3" footer="0.3"/>
  <pageSetup orientation="portrait" r:id="rId2"/>
  <legacyDrawing r:id="rId3"/>
  <extLst>
    <ext xmlns:x14="http://schemas.microsoft.com/office/spreadsheetml/2009/9/main" uri="{78C0D931-6437-407d-A8EE-F0AAD7539E65}">
      <x14:conditionalFormattings>
        <x14:conditionalFormatting xmlns:xm="http://schemas.microsoft.com/office/excel/2006/main">
          <x14:cfRule type="expression" priority="1" id="{48C0D328-9D42-4E0E-8026-A316DC45A7AA}">
            <xm:f>$B$15&gt;Overview!$I$15</xm:f>
            <x14:dxf>
              <font>
                <b/>
                <i val="0"/>
                <color rgb="FFFFFF00"/>
              </font>
              <fill>
                <patternFill>
                  <bgColor rgb="FFFF0000"/>
                </patternFill>
              </fill>
            </x14:dxf>
          </x14:cfRule>
          <xm:sqref>B15</xm:sqref>
        </x14:conditionalFormatting>
      </x14:conditionalFormattings>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CFCA2-CA2B-4EAB-B6E2-80D7C3249151}">
  <sheetPr codeName="Sheet34">
    <tabColor rgb="FF00B0F0"/>
  </sheetPr>
  <dimension ref="B1"/>
  <sheetViews>
    <sheetView showGridLines="0" zoomScaleNormal="100" workbookViewId="0">
      <selection activeCell="C4" sqref="C4:D4"/>
    </sheetView>
  </sheetViews>
  <sheetFormatPr defaultRowHeight="12" x14ac:dyDescent="0.3"/>
  <cols>
    <col min="1" max="1" width="8.88671875" style="221"/>
    <col min="2" max="2" width="8.88671875" style="220"/>
    <col min="3" max="16384" width="8.88671875" style="221"/>
  </cols>
  <sheetData/>
  <sheetProtection algorithmName="SHA-512" hashValue="ixoMfN8iUqgC8PO9EEF8qNS0XsZnyrxrvyDqtdENrnRN3ScyZNSWcPr3rxx+iZ1ykWbSSnEb4AvFuQ7V25d97w==" saltValue="Be2HgM8arWm6CcZbns1/IA==" spinCount="100000" sheet="1" objects="1" scenarios="1"/>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C39BB-66AD-4496-8C06-5B861646C6E0}">
  <sheetPr codeName="Sheet35"/>
  <dimension ref="A1:X596"/>
  <sheetViews>
    <sheetView topLeftCell="A373" workbookViewId="0">
      <selection activeCell="B32" sqref="B32:D34"/>
    </sheetView>
  </sheetViews>
  <sheetFormatPr defaultColWidth="8.88671875" defaultRowHeight="13.2" x14ac:dyDescent="0.25"/>
  <cols>
    <col min="1" max="1" width="33.77734375" style="286" customWidth="1"/>
    <col min="2" max="2" width="7.5546875" style="365" customWidth="1"/>
    <col min="3" max="3" width="7.5546875" style="366" customWidth="1"/>
    <col min="4" max="4" width="17.44140625" style="369" customWidth="1"/>
    <col min="5" max="5" width="17.44140625" style="368" customWidth="1"/>
    <col min="6" max="12" width="17.44140625" style="366" customWidth="1"/>
    <col min="13" max="23" width="8.88671875" style="286" customWidth="1"/>
    <col min="24" max="24" width="4.44140625" style="286" customWidth="1"/>
    <col min="25" max="16384" width="8.88671875" style="286"/>
  </cols>
  <sheetData>
    <row r="1" spans="1:13" ht="33" customHeight="1" x14ac:dyDescent="0.3">
      <c r="B1" s="279" t="s">
        <v>2068</v>
      </c>
      <c r="C1" s="280">
        <f>'[1]Allocation Summary'!B3</f>
        <v>34683006.011</v>
      </c>
      <c r="D1" s="281"/>
      <c r="E1" s="281"/>
      <c r="F1" s="282">
        <v>0.8</v>
      </c>
      <c r="G1" s="282"/>
      <c r="H1" s="281"/>
      <c r="I1" s="283"/>
      <c r="J1" s="284">
        <v>0.2</v>
      </c>
      <c r="K1" s="285"/>
      <c r="L1" s="285" t="s">
        <v>179</v>
      </c>
    </row>
    <row r="2" spans="1:13" ht="15.6" customHeight="1" x14ac:dyDescent="0.3">
      <c r="B2" s="287"/>
      <c r="C2" s="288" t="s">
        <v>2069</v>
      </c>
      <c r="D2" s="289"/>
      <c r="E2" s="281"/>
      <c r="F2" s="290">
        <f>C1*F1</f>
        <v>27746404.808800001</v>
      </c>
      <c r="G2" s="291"/>
      <c r="H2" s="292"/>
      <c r="I2" s="281"/>
      <c r="J2" s="290">
        <f>C1*J1</f>
        <v>6936601.2022000002</v>
      </c>
      <c r="K2" s="285"/>
      <c r="L2" s="293">
        <f>F5+G5+J5+K5</f>
        <v>34635929.419267401</v>
      </c>
      <c r="M2" s="286" t="s">
        <v>2070</v>
      </c>
    </row>
    <row r="3" spans="1:13" ht="15.6" customHeight="1" x14ac:dyDescent="0.3">
      <c r="B3" s="287"/>
      <c r="C3" s="294"/>
      <c r="D3" s="281"/>
      <c r="E3" s="281"/>
      <c r="F3" s="281"/>
      <c r="G3" s="281"/>
      <c r="H3" s="295"/>
      <c r="I3" s="285"/>
      <c r="J3" s="285"/>
      <c r="K3" s="285"/>
      <c r="L3" s="285"/>
    </row>
    <row r="4" spans="1:13" s="300" customFormat="1" ht="52.8" x14ac:dyDescent="0.25">
      <c r="B4" s="296" t="s">
        <v>2071</v>
      </c>
      <c r="C4" s="296" t="s">
        <v>180</v>
      </c>
      <c r="D4" s="297" t="s">
        <v>181</v>
      </c>
      <c r="E4" s="298" t="s">
        <v>182</v>
      </c>
      <c r="F4" s="299" t="s">
        <v>183</v>
      </c>
      <c r="G4" s="299" t="s">
        <v>2072</v>
      </c>
      <c r="H4" s="299" t="s">
        <v>184</v>
      </c>
      <c r="I4" s="299" t="s">
        <v>185</v>
      </c>
      <c r="J4" s="299" t="s">
        <v>186</v>
      </c>
      <c r="K4" s="299" t="s">
        <v>2072</v>
      </c>
      <c r="L4" s="299" t="s">
        <v>2073</v>
      </c>
    </row>
    <row r="5" spans="1:13" s="300" customFormat="1" x14ac:dyDescent="0.25">
      <c r="B5" s="301"/>
      <c r="C5" s="301"/>
      <c r="D5" s="302">
        <f t="shared" ref="D5:L5" si="0">SUM(D6:D401)</f>
        <v>163640</v>
      </c>
      <c r="E5" s="303">
        <f t="shared" si="0"/>
        <v>0.99999999999999978</v>
      </c>
      <c r="F5" s="304">
        <f t="shared" si="0"/>
        <v>27746404.808799997</v>
      </c>
      <c r="G5" s="305">
        <f t="shared" si="0"/>
        <v>-45514.595782797973</v>
      </c>
      <c r="H5" s="306">
        <f t="shared" si="0"/>
        <v>1147608</v>
      </c>
      <c r="I5" s="303">
        <f t="shared" si="0"/>
        <v>0.99999999999999956</v>
      </c>
      <c r="J5" s="304">
        <f t="shared" si="0"/>
        <v>6936601.2021999983</v>
      </c>
      <c r="K5" s="305">
        <f t="shared" si="0"/>
        <v>-1561.9959497947702</v>
      </c>
      <c r="L5" s="304">
        <f t="shared" si="0"/>
        <v>34635929.419267453</v>
      </c>
    </row>
    <row r="6" spans="1:13" ht="15.6" customHeight="1" x14ac:dyDescent="0.3">
      <c r="A6" s="286" t="str">
        <f>B6&amp;" "&amp;C6</f>
        <v>0015 Adams Central Community Schools</v>
      </c>
      <c r="B6" s="307" t="s">
        <v>2074</v>
      </c>
      <c r="C6" s="308" t="s">
        <v>187</v>
      </c>
      <c r="D6" s="309">
        <v>600</v>
      </c>
      <c r="E6" s="310">
        <f t="shared" ref="E6:E70" si="1">D6/$D$5</f>
        <v>3.6665851869958446E-3</v>
      </c>
      <c r="F6" s="311">
        <f t="shared" ref="F6:F70" si="2">E6*$F$2</f>
        <v>101734.55686433635</v>
      </c>
      <c r="G6" s="312">
        <f>VLOOKUP(B6,'[1]Step 4 Final Title II FY20'!A7:Q404,15,FALSE)</f>
        <v>-281.07501676514221</v>
      </c>
      <c r="H6" s="313">
        <v>2539</v>
      </c>
      <c r="I6" s="310">
        <f t="shared" ref="I6:I70" si="3">H6/$H$5</f>
        <v>2.2124279370656181E-3</v>
      </c>
      <c r="J6" s="311">
        <f t="shared" ref="J6:J70" si="4">I6*$J$2</f>
        <v>15346.730288030232</v>
      </c>
      <c r="K6" s="312">
        <f>VLOOKUP(B6,'[1]Step 4 Final Title II FY20'!A7:Q404,16,FALSE)</f>
        <v>239.57031936667772</v>
      </c>
      <c r="L6" s="314">
        <f t="shared" ref="L6:L70" si="5">F6+G6+J6+K6</f>
        <v>117039.78245496811</v>
      </c>
    </row>
    <row r="7" spans="1:13" ht="15.6" customHeight="1" x14ac:dyDescent="0.3">
      <c r="A7" s="286" t="str">
        <f t="shared" ref="A7:A70" si="6">B7&amp;" "&amp;C7</f>
        <v>0025 North Adams Community Schools</v>
      </c>
      <c r="B7" s="307" t="s">
        <v>2075</v>
      </c>
      <c r="C7" s="308" t="s">
        <v>188</v>
      </c>
      <c r="D7" s="309">
        <v>301</v>
      </c>
      <c r="E7" s="310">
        <f t="shared" si="1"/>
        <v>1.839403568809582E-3</v>
      </c>
      <c r="F7" s="311">
        <f t="shared" si="2"/>
        <v>51036.836026942066</v>
      </c>
      <c r="G7" s="312">
        <f>VLOOKUP(B7,'[1]Step 4 Final Title II FY20'!A8:Q405,15,FALSE)</f>
        <v>-3958.5745394600744</v>
      </c>
      <c r="H7" s="313">
        <v>2736</v>
      </c>
      <c r="I7" s="310">
        <f t="shared" si="3"/>
        <v>2.3840893406110795E-3</v>
      </c>
      <c r="J7" s="311">
        <f t="shared" si="4"/>
        <v>16537.476986235019</v>
      </c>
      <c r="K7" s="312">
        <f>VLOOKUP(B7,'[1]Step 4 Final Title II FY20'!A8:Q405,16,FALSE)</f>
        <v>215.31105900197508</v>
      </c>
      <c r="L7" s="314">
        <f t="shared" si="5"/>
        <v>63831.049532718986</v>
      </c>
    </row>
    <row r="8" spans="1:13" ht="15.6" customHeight="1" x14ac:dyDescent="0.3">
      <c r="A8" s="286" t="str">
        <f t="shared" si="6"/>
        <v>0035 South Adams Schools</v>
      </c>
      <c r="B8" s="307" t="s">
        <v>2076</v>
      </c>
      <c r="C8" s="308" t="s">
        <v>189</v>
      </c>
      <c r="D8" s="309">
        <v>784</v>
      </c>
      <c r="E8" s="310">
        <f t="shared" si="1"/>
        <v>4.7910046443412372E-3</v>
      </c>
      <c r="F8" s="311">
        <f t="shared" si="2"/>
        <v>132933.15430273284</v>
      </c>
      <c r="G8" s="312">
        <f>VLOOKUP(B8,'[1]Step 4 Final Title II FY20'!A9:Q406,15,FALSE)</f>
        <v>-2784.6942566026701</v>
      </c>
      <c r="H8" s="313">
        <v>2609</v>
      </c>
      <c r="I8" s="310">
        <f t="shared" si="3"/>
        <v>2.2734243748736504E-3</v>
      </c>
      <c r="J8" s="311">
        <f t="shared" si="4"/>
        <v>15769.838251859346</v>
      </c>
      <c r="K8" s="312">
        <f>VLOOKUP(B8,'[1]Step 4 Final Title II FY20'!A9:Q406,16,FALSE)</f>
        <v>220.48215836983218</v>
      </c>
      <c r="L8" s="314">
        <f t="shared" si="5"/>
        <v>146138.78045635935</v>
      </c>
    </row>
    <row r="9" spans="1:13" ht="15.6" customHeight="1" x14ac:dyDescent="0.3">
      <c r="A9" s="286" t="str">
        <f t="shared" si="6"/>
        <v>0125 MSD Southwest Allen County Schls</v>
      </c>
      <c r="B9" s="307" t="s">
        <v>2077</v>
      </c>
      <c r="C9" s="308" t="s">
        <v>2078</v>
      </c>
      <c r="D9" s="309">
        <v>309</v>
      </c>
      <c r="E9" s="310">
        <f t="shared" si="1"/>
        <v>1.88829137130286E-3</v>
      </c>
      <c r="F9" s="311">
        <f t="shared" si="2"/>
        <v>52393.296785133221</v>
      </c>
      <c r="G9" s="312">
        <f>VLOOKUP(B9,'[1]Step 4 Final Title II FY20'!A10:Q407,15,FALSE)</f>
        <v>3106.9438603337912</v>
      </c>
      <c r="H9" s="313">
        <v>8564</v>
      </c>
      <c r="I9" s="310">
        <f t="shared" si="3"/>
        <v>7.4624784769712306E-3</v>
      </c>
      <c r="J9" s="311">
        <f t="shared" si="4"/>
        <v>51764.237174750262</v>
      </c>
      <c r="K9" s="312">
        <f>VLOOKUP(B9,'[1]Step 4 Final Title II FY20'!A10:Q407,16,FALSE)</f>
        <v>233.93532916282129</v>
      </c>
      <c r="L9" s="314">
        <f t="shared" si="5"/>
        <v>107498.4131493801</v>
      </c>
    </row>
    <row r="10" spans="1:13" ht="15.6" customHeight="1" x14ac:dyDescent="0.3">
      <c r="A10" s="286" t="str">
        <f t="shared" si="6"/>
        <v>0225 Northwest Allen County Schools</v>
      </c>
      <c r="B10" s="307" t="s">
        <v>2079</v>
      </c>
      <c r="C10" s="308" t="s">
        <v>190</v>
      </c>
      <c r="D10" s="309">
        <v>320</v>
      </c>
      <c r="E10" s="310">
        <f t="shared" si="1"/>
        <v>1.955512099731117E-3</v>
      </c>
      <c r="F10" s="311">
        <f t="shared" si="2"/>
        <v>54258.430327646049</v>
      </c>
      <c r="G10" s="312">
        <f>VLOOKUP(B10,'[1]Step 4 Final Title II FY20'!A11:Q408,15,FALSE)</f>
        <v>4073.7522705483425</v>
      </c>
      <c r="H10" s="313">
        <v>7850</v>
      </c>
      <c r="I10" s="310">
        <f t="shared" si="3"/>
        <v>6.8403148113293042E-3</v>
      </c>
      <c r="J10" s="311">
        <f t="shared" si="4"/>
        <v>47448.535943693321</v>
      </c>
      <c r="K10" s="312">
        <f>VLOOKUP(B10,'[1]Step 4 Final Title II FY20'!A11:Q408,16,FALSE)</f>
        <v>206.33188916245126</v>
      </c>
      <c r="L10" s="314">
        <f t="shared" si="5"/>
        <v>105987.05043105016</v>
      </c>
    </row>
    <row r="11" spans="1:13" ht="15.6" customHeight="1" x14ac:dyDescent="0.3">
      <c r="A11" s="286" t="str">
        <f t="shared" si="6"/>
        <v>0235 Fort Wayne Community Schools</v>
      </c>
      <c r="B11" s="307" t="s">
        <v>2080</v>
      </c>
      <c r="C11" s="308" t="s">
        <v>191</v>
      </c>
      <c r="D11" s="309">
        <v>6499</v>
      </c>
      <c r="E11" s="310">
        <f t="shared" si="1"/>
        <v>3.9715228550476656E-2</v>
      </c>
      <c r="F11" s="311">
        <f t="shared" si="2"/>
        <v>1101954.8084355365</v>
      </c>
      <c r="G11" s="312">
        <f>VLOOKUP(B11,'[1]Step 4 Final Title II FY20'!A12:Q409,15,FALSE)</f>
        <v>113956.33143000235</v>
      </c>
      <c r="H11" s="313">
        <v>38457</v>
      </c>
      <c r="I11" s="310">
        <f t="shared" si="3"/>
        <v>3.3510571554049816E-2</v>
      </c>
      <c r="J11" s="311">
        <f t="shared" si="4"/>
        <v>232449.47092823108</v>
      </c>
      <c r="K11" s="312">
        <f>VLOOKUP(B11,'[1]Step 4 Final Title II FY20'!A12:Q409,16,FALSE)</f>
        <v>427.50697338811005</v>
      </c>
      <c r="L11" s="314">
        <f t="shared" si="5"/>
        <v>1448788.117767158</v>
      </c>
    </row>
    <row r="12" spans="1:13" ht="15.6" customHeight="1" x14ac:dyDescent="0.3">
      <c r="A12" s="286" t="str">
        <f t="shared" si="6"/>
        <v>0255 East Allen County Schools</v>
      </c>
      <c r="B12" s="307" t="s">
        <v>2081</v>
      </c>
      <c r="C12" s="308" t="s">
        <v>192</v>
      </c>
      <c r="D12" s="309">
        <v>1765</v>
      </c>
      <c r="E12" s="310">
        <f t="shared" si="1"/>
        <v>1.0785871425079443E-2</v>
      </c>
      <c r="F12" s="311">
        <f t="shared" si="2"/>
        <v>299269.15477592277</v>
      </c>
      <c r="G12" s="312">
        <f>VLOOKUP(B12,'[1]Step 4 Final Title II FY20'!A13:Q410,15,FALSE)</f>
        <v>34068.203561273171</v>
      </c>
      <c r="H12" s="313">
        <v>14231</v>
      </c>
      <c r="I12" s="310">
        <f t="shared" si="3"/>
        <v>1.2400575806372908E-2</v>
      </c>
      <c r="J12" s="311">
        <f t="shared" si="4"/>
        <v>86017.849046458548</v>
      </c>
      <c r="K12" s="312">
        <f>VLOOKUP(B12,'[1]Step 4 Final Title II FY20'!A13:Q410,16,FALSE)</f>
        <v>256.88694223224593</v>
      </c>
      <c r="L12" s="314">
        <f t="shared" si="5"/>
        <v>419612.09432588675</v>
      </c>
    </row>
    <row r="13" spans="1:13" ht="15.6" customHeight="1" x14ac:dyDescent="0.3">
      <c r="A13" s="286" t="str">
        <f t="shared" si="6"/>
        <v>0365 Bartholomew Con School Corp</v>
      </c>
      <c r="B13" s="307" t="s">
        <v>2082</v>
      </c>
      <c r="C13" s="308" t="s">
        <v>2083</v>
      </c>
      <c r="D13" s="309">
        <v>2233</v>
      </c>
      <c r="E13" s="310">
        <f t="shared" si="1"/>
        <v>1.3645807870936201E-2</v>
      </c>
      <c r="F13" s="311">
        <f t="shared" si="2"/>
        <v>378622.10913010512</v>
      </c>
      <c r="G13" s="312">
        <f>VLOOKUP(B13,'[1]Step 4 Final Title II FY20'!A14:Q411,15,FALSE)</f>
        <v>-44658.715120241919</v>
      </c>
      <c r="H13" s="313">
        <v>13249</v>
      </c>
      <c r="I13" s="310">
        <f t="shared" si="3"/>
        <v>1.1544882921694515E-2</v>
      </c>
      <c r="J13" s="311">
        <f t="shared" si="4"/>
        <v>80082.248753884429</v>
      </c>
      <c r="K13" s="312">
        <f>VLOOKUP(B13,'[1]Step 4 Final Title II FY20'!A14:Q411,16,FALSE)</f>
        <v>839.4903187687305</v>
      </c>
      <c r="L13" s="314">
        <f t="shared" si="5"/>
        <v>414885.13308251632</v>
      </c>
    </row>
    <row r="14" spans="1:13" ht="15.6" customHeight="1" x14ac:dyDescent="0.3">
      <c r="A14" s="286" t="str">
        <f t="shared" si="6"/>
        <v>0370 Flat Rock-Hawcreek School Corp</v>
      </c>
      <c r="B14" s="307" t="s">
        <v>2084</v>
      </c>
      <c r="C14" s="308" t="s">
        <v>193</v>
      </c>
      <c r="D14" s="309">
        <v>154</v>
      </c>
      <c r="E14" s="310">
        <f t="shared" si="1"/>
        <v>9.4109019799560006E-4</v>
      </c>
      <c r="F14" s="311">
        <f t="shared" si="2"/>
        <v>26111.869595179662</v>
      </c>
      <c r="G14" s="312">
        <f>VLOOKUP(B14,'[1]Step 4 Final Title II FY20'!A15:Q412,15,FALSE)</f>
        <v>-3453.5033010992593</v>
      </c>
      <c r="H14" s="313">
        <v>1073</v>
      </c>
      <c r="I14" s="310">
        <f t="shared" si="3"/>
        <v>9.3498825382883359E-4</v>
      </c>
      <c r="J14" s="311">
        <f t="shared" si="4"/>
        <v>6485.6406455519664</v>
      </c>
      <c r="K14" s="312">
        <f>VLOOKUP(B14,'[1]Step 4 Final Title II FY20'!A15:Q412,16,FALSE)</f>
        <v>71.319689272741016</v>
      </c>
      <c r="L14" s="314">
        <f t="shared" si="5"/>
        <v>29215.32662890511</v>
      </c>
    </row>
    <row r="15" spans="1:13" ht="15.6" customHeight="1" x14ac:dyDescent="0.3">
      <c r="A15" s="286" t="str">
        <f t="shared" si="6"/>
        <v>0395 Benton Community School Corp</v>
      </c>
      <c r="B15" s="307" t="s">
        <v>2085</v>
      </c>
      <c r="C15" s="308" t="s">
        <v>194</v>
      </c>
      <c r="D15" s="309">
        <v>222</v>
      </c>
      <c r="E15" s="310">
        <f t="shared" si="1"/>
        <v>1.3566365191884624E-3</v>
      </c>
      <c r="F15" s="311">
        <f t="shared" si="2"/>
        <v>37641.78603980445</v>
      </c>
      <c r="G15" s="312">
        <f>VLOOKUP(B15,'[1]Step 4 Final Title II FY20'!A16:Q413,15,FALSE)</f>
        <v>770.74179760533298</v>
      </c>
      <c r="H15" s="313">
        <v>2114</v>
      </c>
      <c r="I15" s="310">
        <f t="shared" si="3"/>
        <v>1.8420924218025667E-3</v>
      </c>
      <c r="J15" s="311">
        <f t="shared" si="4"/>
        <v>12777.860507639194</v>
      </c>
      <c r="K15" s="312">
        <f>VLOOKUP(B15,'[1]Step 4 Final Title II FY20'!A16:Q413,16,FALSE)</f>
        <v>62.678565488829918</v>
      </c>
      <c r="L15" s="314">
        <f t="shared" si="5"/>
        <v>51253.066910537811</v>
      </c>
    </row>
    <row r="16" spans="1:13" ht="15.6" customHeight="1" x14ac:dyDescent="0.3">
      <c r="A16" s="286" t="str">
        <f t="shared" si="6"/>
        <v>0515 Blackford County Schools</v>
      </c>
      <c r="B16" s="307" t="s">
        <v>2086</v>
      </c>
      <c r="C16" s="308" t="s">
        <v>195</v>
      </c>
      <c r="D16" s="309">
        <v>321</v>
      </c>
      <c r="E16" s="310">
        <f t="shared" si="1"/>
        <v>1.9616230750427767E-3</v>
      </c>
      <c r="F16" s="311">
        <f t="shared" si="2"/>
        <v>54427.987922419947</v>
      </c>
      <c r="G16" s="312">
        <f>VLOOKUP(B16,'[1]Step 4 Final Title II FY20'!A17:Q414,15,FALSE)</f>
        <v>2417.5043497761217</v>
      </c>
      <c r="H16" s="313">
        <v>1876</v>
      </c>
      <c r="I16" s="310">
        <f t="shared" si="3"/>
        <v>1.6347045332552579E-3</v>
      </c>
      <c r="J16" s="311">
        <f t="shared" si="4"/>
        <v>11339.293430620213</v>
      </c>
      <c r="K16" s="312">
        <f>VLOOKUP(B16,'[1]Step 4 Final Title II FY20'!A17:Q414,16,FALSE)</f>
        <v>14.712687718598318</v>
      </c>
      <c r="L16" s="314">
        <f t="shared" si="5"/>
        <v>68199.498390534878</v>
      </c>
    </row>
    <row r="17" spans="1:12" ht="15.6" customHeight="1" x14ac:dyDescent="0.3">
      <c r="A17" s="286" t="str">
        <f t="shared" si="6"/>
        <v>0615 Western Boone Co Com Sch Dist</v>
      </c>
      <c r="B17" s="307" t="s">
        <v>2087</v>
      </c>
      <c r="C17" s="308" t="s">
        <v>196</v>
      </c>
      <c r="D17" s="309">
        <v>162</v>
      </c>
      <c r="E17" s="310">
        <f t="shared" si="1"/>
        <v>9.8997800048887812E-4</v>
      </c>
      <c r="F17" s="311">
        <f t="shared" si="2"/>
        <v>27468.330353370817</v>
      </c>
      <c r="G17" s="312">
        <f>VLOOKUP(B17,'[1]Step 4 Final Title II FY20'!A18:Q415,15,FALSE)</f>
        <v>-1418.1203111223585</v>
      </c>
      <c r="H17" s="313">
        <v>2058</v>
      </c>
      <c r="I17" s="310">
        <f t="shared" si="3"/>
        <v>1.7932952715561412E-3</v>
      </c>
      <c r="J17" s="311">
        <f t="shared" si="4"/>
        <v>12439.374136575905</v>
      </c>
      <c r="K17" s="312">
        <f>VLOOKUP(B17,'[1]Step 4 Final Title II FY20'!A18:Q415,16,FALSE)</f>
        <v>161.62762101425324</v>
      </c>
      <c r="L17" s="314">
        <f t="shared" si="5"/>
        <v>38651.211799838617</v>
      </c>
    </row>
    <row r="18" spans="1:12" ht="15.6" customHeight="1" x14ac:dyDescent="0.3">
      <c r="A18" s="286" t="str">
        <f t="shared" si="6"/>
        <v>0630 Zionsville Community Schools</v>
      </c>
      <c r="B18" s="307" t="s">
        <v>2088</v>
      </c>
      <c r="C18" s="308" t="s">
        <v>197</v>
      </c>
      <c r="D18" s="309">
        <v>133</v>
      </c>
      <c r="E18" s="310">
        <f t="shared" si="1"/>
        <v>8.1275971645074555E-4</v>
      </c>
      <c r="F18" s="311">
        <f t="shared" si="2"/>
        <v>22551.160104927891</v>
      </c>
      <c r="G18" s="312">
        <f>VLOOKUP(B18,'[1]Step 4 Final Title II FY20'!A19:Q416,15,FALSE)</f>
        <v>-5677.7072530298719</v>
      </c>
      <c r="H18" s="313">
        <v>6726</v>
      </c>
      <c r="I18" s="310">
        <f t="shared" si="3"/>
        <v>5.8608862956689043E-3</v>
      </c>
      <c r="J18" s="311">
        <f t="shared" si="4"/>
        <v>40654.630924494428</v>
      </c>
      <c r="K18" s="312">
        <f>VLOOKUP(B18,'[1]Step 4 Final Title II FY20'!A19:Q416,16,FALSE)</f>
        <v>490.90017884447298</v>
      </c>
      <c r="L18" s="314">
        <f t="shared" si="5"/>
        <v>58018.983955236923</v>
      </c>
    </row>
    <row r="19" spans="1:12" ht="15.6" customHeight="1" x14ac:dyDescent="0.3">
      <c r="A19" s="286" t="str">
        <f t="shared" si="6"/>
        <v>0665 Lebanon Community School Corp</v>
      </c>
      <c r="B19" s="307" t="s">
        <v>2089</v>
      </c>
      <c r="C19" s="308" t="s">
        <v>198</v>
      </c>
      <c r="D19" s="309">
        <v>450</v>
      </c>
      <c r="E19" s="310">
        <f t="shared" si="1"/>
        <v>2.7499388902468835E-3</v>
      </c>
      <c r="F19" s="311">
        <f t="shared" si="2"/>
        <v>76300.91764825226</v>
      </c>
      <c r="G19" s="312">
        <f>VLOOKUP(B19,'[1]Step 4 Final Title II FY20'!A20:Q417,15,FALSE)</f>
        <v>-8314.8949720708333</v>
      </c>
      <c r="H19" s="313">
        <v>4105</v>
      </c>
      <c r="I19" s="310">
        <f t="shared" si="3"/>
        <v>3.5770053885995916E-3</v>
      </c>
      <c r="J19" s="311">
        <f t="shared" si="4"/>
        <v>24812.259878835805</v>
      </c>
      <c r="K19" s="312">
        <f>VLOOKUP(B19,'[1]Step 4 Final Title II FY20'!A20:Q417,16,FALSE)</f>
        <v>224.00643091886377</v>
      </c>
      <c r="L19" s="314">
        <f t="shared" si="5"/>
        <v>93022.288985936088</v>
      </c>
    </row>
    <row r="20" spans="1:12" ht="15.6" customHeight="1" x14ac:dyDescent="0.3">
      <c r="A20" s="286" t="str">
        <f t="shared" si="6"/>
        <v>0670 Brown County School Corporation</v>
      </c>
      <c r="B20" s="307" t="s">
        <v>2090</v>
      </c>
      <c r="C20" s="308" t="s">
        <v>199</v>
      </c>
      <c r="D20" s="309">
        <v>264</v>
      </c>
      <c r="E20" s="310">
        <f t="shared" si="1"/>
        <v>1.6132974822781717E-3</v>
      </c>
      <c r="F20" s="311">
        <f t="shared" si="2"/>
        <v>44763.205020308</v>
      </c>
      <c r="G20" s="312">
        <f>VLOOKUP(B20,'[1]Step 4 Final Title II FY20'!A21:Q418,15,FALSE)</f>
        <v>-3331.2732490513663</v>
      </c>
      <c r="H20" s="313">
        <v>1984</v>
      </c>
      <c r="I20" s="310">
        <f t="shared" si="3"/>
        <v>1.7288133230162215E-3</v>
      </c>
      <c r="J20" s="311">
        <f t="shared" si="4"/>
        <v>11992.088574813699</v>
      </c>
      <c r="K20" s="312">
        <f>VLOOKUP(B20,'[1]Step 4 Final Title II FY20'!A21:Q418,16,FALSE)</f>
        <v>-82.126976658628337</v>
      </c>
      <c r="L20" s="314">
        <f t="shared" si="5"/>
        <v>53341.893369411708</v>
      </c>
    </row>
    <row r="21" spans="1:12" ht="15.6" customHeight="1" x14ac:dyDescent="0.3">
      <c r="A21" s="286" t="str">
        <f t="shared" si="6"/>
        <v>0750 Carroll Consolidated School Corp</v>
      </c>
      <c r="B21" s="307" t="s">
        <v>2091</v>
      </c>
      <c r="C21" s="308" t="s">
        <v>2092</v>
      </c>
      <c r="D21" s="309">
        <v>96</v>
      </c>
      <c r="E21" s="310">
        <f t="shared" si="1"/>
        <v>5.8665362991933514E-4</v>
      </c>
      <c r="F21" s="311">
        <f t="shared" si="2"/>
        <v>16277.529098293817</v>
      </c>
      <c r="G21" s="312">
        <f>VLOOKUP(B21,'[1]Step 4 Final Title II FY20'!A22:Q419,15,FALSE)</f>
        <v>-445.17273615776685</v>
      </c>
      <c r="H21" s="313">
        <v>1070</v>
      </c>
      <c r="I21" s="310">
        <f t="shared" si="3"/>
        <v>9.3237412077991789E-4</v>
      </c>
      <c r="J21" s="311">
        <f t="shared" si="4"/>
        <v>6467.5074471021462</v>
      </c>
      <c r="K21" s="312">
        <f>VLOOKUP(B21,'[1]Step 4 Final Title II FY20'!A22:Q419,16,FALSE)</f>
        <v>-54.086834234979506</v>
      </c>
      <c r="L21" s="314">
        <f t="shared" si="5"/>
        <v>22245.776975003217</v>
      </c>
    </row>
    <row r="22" spans="1:12" ht="15.6" customHeight="1" x14ac:dyDescent="0.3">
      <c r="A22" s="286" t="str">
        <f t="shared" si="6"/>
        <v>0755 Delphi Community School Corp</v>
      </c>
      <c r="B22" s="307" t="s">
        <v>2093</v>
      </c>
      <c r="C22" s="308" t="s">
        <v>200</v>
      </c>
      <c r="D22" s="309">
        <v>185</v>
      </c>
      <c r="E22" s="310">
        <f t="shared" si="1"/>
        <v>1.1305304326570521E-3</v>
      </c>
      <c r="F22" s="311">
        <f t="shared" si="2"/>
        <v>31368.155033170377</v>
      </c>
      <c r="G22" s="312">
        <f>VLOOKUP(B22,'[1]Step 4 Final Title II FY20'!A23:Q420,15,FALSE)</f>
        <v>-4853.9526906201572</v>
      </c>
      <c r="H22" s="313">
        <v>1581</v>
      </c>
      <c r="I22" s="310">
        <f t="shared" si="3"/>
        <v>1.3776481167785517E-3</v>
      </c>
      <c r="J22" s="311">
        <f t="shared" si="4"/>
        <v>9556.1955830546685</v>
      </c>
      <c r="K22" s="312">
        <f>VLOOKUP(B22,'[1]Step 4 Final Title II FY20'!A23:Q420,16,FALSE)</f>
        <v>-41.62168231781834</v>
      </c>
      <c r="L22" s="314">
        <f t="shared" si="5"/>
        <v>36028.776243287073</v>
      </c>
    </row>
    <row r="23" spans="1:12" ht="15.6" customHeight="1" x14ac:dyDescent="0.3">
      <c r="A23" s="286" t="str">
        <f t="shared" si="6"/>
        <v>0775 Pioneer Regional School Corp</v>
      </c>
      <c r="B23" s="307" t="s">
        <v>2094</v>
      </c>
      <c r="C23" s="308" t="s">
        <v>201</v>
      </c>
      <c r="D23" s="309">
        <v>87</v>
      </c>
      <c r="E23" s="310">
        <f t="shared" si="1"/>
        <v>5.3165485211439749E-4</v>
      </c>
      <c r="F23" s="311">
        <f t="shared" si="2"/>
        <v>14751.510745328771</v>
      </c>
      <c r="G23" s="312">
        <f>VLOOKUP(B23,'[1]Step 4 Final Title II FY20'!A24:Q421,15,FALSE)</f>
        <v>-2958.4706742926101</v>
      </c>
      <c r="H23" s="313">
        <v>847</v>
      </c>
      <c r="I23" s="310">
        <f t="shared" si="3"/>
        <v>7.3805689747718736E-4</v>
      </c>
      <c r="J23" s="311">
        <f t="shared" si="4"/>
        <v>5119.6063623322598</v>
      </c>
      <c r="K23" s="312">
        <f>VLOOKUP(B23,'[1]Step 4 Final Title II FY20'!A24:Q421,16,FALSE)</f>
        <v>-3.6587594135244217</v>
      </c>
      <c r="L23" s="314">
        <f t="shared" si="5"/>
        <v>16908.987673954896</v>
      </c>
    </row>
    <row r="24" spans="1:12" ht="15.6" customHeight="1" x14ac:dyDescent="0.3">
      <c r="A24" s="286" t="str">
        <f t="shared" si="6"/>
        <v xml:space="preserve">0815 Lewis Cass Schools </v>
      </c>
      <c r="B24" s="307" t="s">
        <v>2095</v>
      </c>
      <c r="C24" s="308" t="s">
        <v>2096</v>
      </c>
      <c r="D24" s="309">
        <v>139</v>
      </c>
      <c r="E24" s="310">
        <f t="shared" si="1"/>
        <v>8.4942556832070398E-4</v>
      </c>
      <c r="F24" s="311">
        <f t="shared" si="2"/>
        <v>23568.505673571253</v>
      </c>
      <c r="G24" s="312">
        <f>VLOOKUP(B24,'[1]Step 4 Final Title II FY20'!A25:Q422,15,FALSE)</f>
        <v>-1566.7600807244926</v>
      </c>
      <c r="H24" s="313">
        <v>1361</v>
      </c>
      <c r="I24" s="310">
        <f t="shared" si="3"/>
        <v>1.1859450265247367E-3</v>
      </c>
      <c r="J24" s="311">
        <f t="shared" si="4"/>
        <v>8226.4276967345995</v>
      </c>
      <c r="K24" s="312">
        <f>VLOOKUP(B24,'[1]Step 4 Final Title II FY20'!A25:Q422,16,FALSE)</f>
        <v>8.5732492714669206</v>
      </c>
      <c r="L24" s="314">
        <f t="shared" si="5"/>
        <v>30236.746538852829</v>
      </c>
    </row>
    <row r="25" spans="1:12" ht="15.6" customHeight="1" x14ac:dyDescent="0.3">
      <c r="A25" s="286" t="str">
        <f t="shared" si="6"/>
        <v>0875 Logansport Community Sch Corp</v>
      </c>
      <c r="B25" s="307" t="s">
        <v>2097</v>
      </c>
      <c r="C25" s="308" t="s">
        <v>202</v>
      </c>
      <c r="D25" s="309">
        <v>606</v>
      </c>
      <c r="E25" s="310">
        <f t="shared" si="1"/>
        <v>3.7032510388658028E-3</v>
      </c>
      <c r="F25" s="311">
        <f t="shared" si="2"/>
        <v>102751.90243297971</v>
      </c>
      <c r="G25" s="312">
        <f>VLOOKUP(B25,'[1]Step 4 Final Title II FY20'!A26:Q423,15,FALSE)</f>
        <v>-16813.218313993973</v>
      </c>
      <c r="H25" s="313">
        <v>3877</v>
      </c>
      <c r="I25" s="310">
        <f t="shared" si="3"/>
        <v>3.3783312768820013E-3</v>
      </c>
      <c r="J25" s="311">
        <f t="shared" si="4"/>
        <v>23434.136796649553</v>
      </c>
      <c r="K25" s="312">
        <f>VLOOKUP(B25,'[1]Step 4 Final Title II FY20'!A26:Q423,16,FALSE)</f>
        <v>-49.292007047890365</v>
      </c>
      <c r="L25" s="314">
        <f t="shared" si="5"/>
        <v>109323.52890858741</v>
      </c>
    </row>
    <row r="26" spans="1:12" ht="15.6" customHeight="1" x14ac:dyDescent="0.3">
      <c r="A26" s="286" t="str">
        <f t="shared" si="6"/>
        <v>0935 Henryville/Borden</v>
      </c>
      <c r="B26" s="315" t="s">
        <v>2098</v>
      </c>
      <c r="C26" s="308" t="s">
        <v>2099</v>
      </c>
      <c r="D26" s="309">
        <f>424*42.99%</f>
        <v>182.27760000000001</v>
      </c>
      <c r="E26" s="310">
        <f t="shared" si="1"/>
        <v>1.1138939134685895E-3</v>
      </c>
      <c r="F26" s="311">
        <f t="shared" si="2"/>
        <v>30906.551437157923</v>
      </c>
      <c r="G26" s="312">
        <f>VLOOKUP(B26,'[1]Step 4 Final Title II FY20'!A26:Q423,15,FALSE)</f>
        <v>480.89809126605178</v>
      </c>
      <c r="H26" s="313">
        <f>4706*42.99%</f>
        <v>2023.1094000000001</v>
      </c>
      <c r="I26" s="310">
        <f t="shared" si="3"/>
        <v>1.7628923813706424E-3</v>
      </c>
      <c r="J26" s="311">
        <f t="shared" si="4"/>
        <v>12228.48141196482</v>
      </c>
      <c r="K26" s="312">
        <f>VLOOKUP(B26,'[1]Step 4 Final Title II FY20'!A26:Q423,16,FALSE)</f>
        <v>-22.749216176691334</v>
      </c>
      <c r="L26" s="314">
        <f t="shared" si="5"/>
        <v>43593.181724212103</v>
      </c>
    </row>
    <row r="27" spans="1:12" ht="15.6" customHeight="1" x14ac:dyDescent="0.3">
      <c r="A27" s="286" t="str">
        <f t="shared" si="6"/>
        <v>0945 Silvercreek</v>
      </c>
      <c r="B27" s="307" t="s">
        <v>2100</v>
      </c>
      <c r="C27" s="308" t="s">
        <v>2101</v>
      </c>
      <c r="D27" s="309">
        <f>424*57.01%</f>
        <v>241.72239999999996</v>
      </c>
      <c r="E27" s="310">
        <f t="shared" si="1"/>
        <v>1.4771596186751404E-3</v>
      </c>
      <c r="F27" s="311">
        <f t="shared" si="2"/>
        <v>40985.868746973094</v>
      </c>
      <c r="G27" s="312">
        <f>VLOOKUP(B27,'[1]Step 4 Final Title II FY20'!A27:Q424,15,FALSE)</f>
        <v>637.72970884107781</v>
      </c>
      <c r="H27" s="313">
        <f>4706*57.01%</f>
        <v>2682.8905999999997</v>
      </c>
      <c r="I27" s="310">
        <f t="shared" si="3"/>
        <v>2.3378109946950525E-3</v>
      </c>
      <c r="J27" s="311">
        <f t="shared" si="4"/>
        <v>16216.46255631808</v>
      </c>
      <c r="K27" s="312">
        <f>VLOOKUP(B27,'[1]Step 4 Final Title II FY20'!A27:Q424,16,FALSE)</f>
        <v>-30.168244108706858</v>
      </c>
      <c r="L27" s="314">
        <f t="shared" si="5"/>
        <v>57809.89276802355</v>
      </c>
    </row>
    <row r="28" spans="1:12" ht="15.6" customHeight="1" x14ac:dyDescent="0.3">
      <c r="A28" s="286" t="str">
        <f t="shared" si="6"/>
        <v>1000 Clarksville Community School Corp</v>
      </c>
      <c r="B28" s="307" t="s">
        <v>2102</v>
      </c>
      <c r="C28" s="308" t="s">
        <v>2103</v>
      </c>
      <c r="D28" s="309">
        <v>209</v>
      </c>
      <c r="E28" s="310">
        <f t="shared" si="1"/>
        <v>1.2771938401368859E-3</v>
      </c>
      <c r="F28" s="311">
        <f t="shared" si="2"/>
        <v>35437.537307743827</v>
      </c>
      <c r="G28" s="312">
        <f>VLOOKUP(B28,'[1]Step 4 Final Title II FY20'!A28:Q425,15,FALSE)</f>
        <v>-4669.7777481192097</v>
      </c>
      <c r="H28" s="313">
        <v>1386</v>
      </c>
      <c r="I28" s="310">
        <f t="shared" si="3"/>
        <v>1.2077294685990338E-3</v>
      </c>
      <c r="J28" s="311">
        <f t="shared" si="4"/>
        <v>8377.5376838164248</v>
      </c>
      <c r="K28" s="312">
        <f>VLOOKUP(B28,'[1]Step 4 Final Title II FY20'!A28:Q425,16,FALSE)</f>
        <v>22.101738846833541</v>
      </c>
      <c r="L28" s="314">
        <f t="shared" si="5"/>
        <v>39167.398982287872</v>
      </c>
    </row>
    <row r="29" spans="1:12" ht="15.6" customHeight="1" x14ac:dyDescent="0.3">
      <c r="A29" s="286" t="str">
        <f t="shared" si="6"/>
        <v>1010 Greater Clark County Schools</v>
      </c>
      <c r="B29" s="307" t="s">
        <v>2104</v>
      </c>
      <c r="C29" s="308" t="s">
        <v>203</v>
      </c>
      <c r="D29" s="309">
        <v>1707</v>
      </c>
      <c r="E29" s="310">
        <f t="shared" si="1"/>
        <v>1.0431434857003178E-2</v>
      </c>
      <c r="F29" s="311">
        <f t="shared" si="2"/>
        <v>289434.81427903695</v>
      </c>
      <c r="G29" s="312">
        <f>VLOOKUP(B29,'[1]Step 4 Final Title II FY20'!A29:Q426,15,FALSE)</f>
        <v>-1823.8049353073002</v>
      </c>
      <c r="H29" s="313">
        <v>12036</v>
      </c>
      <c r="I29" s="310">
        <f t="shared" si="3"/>
        <v>1.0487901792249619E-2</v>
      </c>
      <c r="J29" s="311">
        <f t="shared" si="4"/>
        <v>72750.392180674244</v>
      </c>
      <c r="K29" s="312">
        <f>VLOOKUP(B29,'[1]Step 4 Final Title II FY20'!A29:Q426,16,FALSE)</f>
        <v>41.944711141099106</v>
      </c>
      <c r="L29" s="314">
        <f t="shared" si="5"/>
        <v>360403.346235545</v>
      </c>
    </row>
    <row r="30" spans="1:12" ht="15.6" customHeight="1" x14ac:dyDescent="0.3">
      <c r="A30" s="286" t="str">
        <f t="shared" si="6"/>
        <v>1125 Clay Community Schools</v>
      </c>
      <c r="B30" s="307" t="s">
        <v>2105</v>
      </c>
      <c r="C30" s="308" t="s">
        <v>204</v>
      </c>
      <c r="D30" s="309">
        <v>664</v>
      </c>
      <c r="E30" s="310">
        <f t="shared" si="1"/>
        <v>4.0576876069420677E-3</v>
      </c>
      <c r="F30" s="311">
        <f t="shared" si="2"/>
        <v>112586.24292986555</v>
      </c>
      <c r="G30" s="312">
        <f>VLOOKUP(B30,'[1]Step 4 Final Title II FY20'!A30:Q427,15,FALSE)</f>
        <v>33559.539297095165</v>
      </c>
      <c r="H30" s="313">
        <v>4209</v>
      </c>
      <c r="I30" s="310">
        <f t="shared" si="3"/>
        <v>3.6676286676286677E-3</v>
      </c>
      <c r="J30" s="311">
        <f t="shared" si="4"/>
        <v>25440.877425096201</v>
      </c>
      <c r="K30" s="312">
        <f>VLOOKUP(B30,'[1]Step 4 Final Title II FY20'!A30:Q427,16,FALSE)</f>
        <v>139.62945848422896</v>
      </c>
      <c r="L30" s="314">
        <f t="shared" si="5"/>
        <v>171726.28911054114</v>
      </c>
    </row>
    <row r="31" spans="1:12" ht="15.6" customHeight="1" x14ac:dyDescent="0.3">
      <c r="A31" s="286" t="str">
        <f t="shared" si="6"/>
        <v>1150 Clinton Central School Corporation</v>
      </c>
      <c r="B31" s="307" t="s">
        <v>2106</v>
      </c>
      <c r="C31" s="308" t="s">
        <v>2107</v>
      </c>
      <c r="D31" s="309">
        <v>135</v>
      </c>
      <c r="E31" s="310">
        <f t="shared" si="1"/>
        <v>8.2498166707406506E-4</v>
      </c>
      <c r="F31" s="311">
        <f t="shared" si="2"/>
        <v>22890.275294475679</v>
      </c>
      <c r="G31" s="312">
        <f>VLOOKUP(B31,'[1]Step 4 Final Title II FY20'!A31:Q428,15,FALSE)</f>
        <v>-1974.5445854293321</v>
      </c>
      <c r="H31" s="313">
        <v>1036</v>
      </c>
      <c r="I31" s="310">
        <f t="shared" si="3"/>
        <v>9.0274727955887374E-4</v>
      </c>
      <c r="J31" s="311">
        <f t="shared" si="4"/>
        <v>6261.9978646708632</v>
      </c>
      <c r="K31" s="312">
        <f>VLOOKUP(B31,'[1]Step 4 Final Title II FY20'!A31:Q428,16,FALSE)</f>
        <v>-54.697447462091077</v>
      </c>
      <c r="L31" s="314">
        <f t="shared" si="5"/>
        <v>27123.031126255119</v>
      </c>
    </row>
    <row r="32" spans="1:12" ht="15.6" customHeight="1" x14ac:dyDescent="0.3">
      <c r="A32" s="286" t="str">
        <f t="shared" si="6"/>
        <v>1160 Clinton Prairie School Corporation</v>
      </c>
      <c r="B32" s="307" t="s">
        <v>2108</v>
      </c>
      <c r="C32" s="308" t="s">
        <v>2109</v>
      </c>
      <c r="D32" s="309">
        <v>97</v>
      </c>
      <c r="E32" s="310">
        <f t="shared" si="1"/>
        <v>5.9276460523099484E-4</v>
      </c>
      <c r="F32" s="311">
        <f t="shared" si="2"/>
        <v>16447.086693067711</v>
      </c>
      <c r="G32" s="312">
        <f>VLOOKUP(B32,'[1]Step 4 Final Title II FY20'!A32:Q429,15,FALSE)</f>
        <v>-4084.8973680079871</v>
      </c>
      <c r="H32" s="313">
        <v>955</v>
      </c>
      <c r="I32" s="310">
        <f t="shared" si="3"/>
        <v>8.3216568723815099E-4</v>
      </c>
      <c r="J32" s="311">
        <f t="shared" si="4"/>
        <v>5772.4015065257472</v>
      </c>
      <c r="K32" s="312">
        <f>VLOOKUP(B32,'[1]Step 4 Final Title II FY20'!A32:Q429,16,FALSE)</f>
        <v>-68.781039971195241</v>
      </c>
      <c r="L32" s="314">
        <f t="shared" si="5"/>
        <v>18065.809791614276</v>
      </c>
    </row>
    <row r="33" spans="1:24" ht="15.6" customHeight="1" x14ac:dyDescent="0.3">
      <c r="A33" s="286" t="str">
        <f t="shared" si="6"/>
        <v>1170 Community Schools of Frankfort</v>
      </c>
      <c r="B33" s="307" t="s">
        <v>2110</v>
      </c>
      <c r="C33" s="308" t="s">
        <v>205</v>
      </c>
      <c r="D33" s="309">
        <v>602</v>
      </c>
      <c r="E33" s="310">
        <f t="shared" si="1"/>
        <v>3.678807137619164E-3</v>
      </c>
      <c r="F33" s="311">
        <f t="shared" si="2"/>
        <v>102073.67205388413</v>
      </c>
      <c r="G33" s="312">
        <f>VLOOKUP(B33,'[1]Step 4 Final Title II FY20'!A33:Q430,15,FALSE)</f>
        <v>-12115.34437332736</v>
      </c>
      <c r="H33" s="313">
        <v>3375</v>
      </c>
      <c r="I33" s="310">
        <f t="shared" si="3"/>
        <v>2.940899680030115E-3</v>
      </c>
      <c r="J33" s="311">
        <f t="shared" si="4"/>
        <v>20399.848256046491</v>
      </c>
      <c r="K33" s="312">
        <f>VLOOKUP(B33,'[1]Step 4 Final Title II FY20'!A33:Q430,16,FALSE)</f>
        <v>-134.57070620974628</v>
      </c>
      <c r="L33" s="314">
        <f t="shared" si="5"/>
        <v>110223.60523039351</v>
      </c>
    </row>
    <row r="34" spans="1:24" ht="15.6" customHeight="1" x14ac:dyDescent="0.3">
      <c r="A34" s="286" t="str">
        <f t="shared" si="6"/>
        <v>1180 Rossville Con School District</v>
      </c>
      <c r="B34" s="307" t="s">
        <v>2111</v>
      </c>
      <c r="C34" s="308" t="s">
        <v>206</v>
      </c>
      <c r="D34" s="309">
        <v>81</v>
      </c>
      <c r="E34" s="310">
        <f t="shared" si="1"/>
        <v>4.9498900024443906E-4</v>
      </c>
      <c r="F34" s="311">
        <f t="shared" si="2"/>
        <v>13734.165176685408</v>
      </c>
      <c r="G34" s="312">
        <f>VLOOKUP(B34,'[1]Step 4 Final Title II FY20'!A34:Q431,15,FALSE)</f>
        <v>-3488.2919013494375</v>
      </c>
      <c r="H34" s="313">
        <v>1012</v>
      </c>
      <c r="I34" s="310">
        <f t="shared" si="3"/>
        <v>8.8183421516754845E-4</v>
      </c>
      <c r="J34" s="311">
        <f t="shared" si="4"/>
        <v>6116.9322770723102</v>
      </c>
      <c r="K34" s="312">
        <f>VLOOKUP(B34,'[1]Step 4 Final Title II FY20'!A34:Q431,16,FALSE)</f>
        <v>-41.502019646966801</v>
      </c>
      <c r="L34" s="314">
        <f t="shared" si="5"/>
        <v>16321.303532761314</v>
      </c>
    </row>
    <row r="35" spans="1:24" ht="15.6" customHeight="1" x14ac:dyDescent="0.3">
      <c r="A35" s="286" t="str">
        <f t="shared" si="6"/>
        <v>1300 Crawford County Community Sch Corp</v>
      </c>
      <c r="B35" s="307" t="s">
        <v>2112</v>
      </c>
      <c r="C35" s="308" t="s">
        <v>2113</v>
      </c>
      <c r="D35" s="309">
        <v>414</v>
      </c>
      <c r="E35" s="310">
        <f t="shared" si="1"/>
        <v>2.5299437790271329E-3</v>
      </c>
      <c r="F35" s="311">
        <f t="shared" si="2"/>
        <v>70196.844236392091</v>
      </c>
      <c r="G35" s="312">
        <f>VLOOKUP(B35,'[1]Step 4 Final Title II FY20'!A35:Q432,15,FALSE)</f>
        <v>-1201.7563995739765</v>
      </c>
      <c r="H35" s="313">
        <v>1751</v>
      </c>
      <c r="I35" s="310">
        <f t="shared" si="3"/>
        <v>1.5257823228837721E-3</v>
      </c>
      <c r="J35" s="311">
        <f t="shared" si="4"/>
        <v>10583.743495211082</v>
      </c>
      <c r="K35" s="312">
        <f>VLOOKUP(B35,'[1]Step 4 Final Title II FY20'!A35:Q432,16,FALSE)</f>
        <v>-231.795220505619</v>
      </c>
      <c r="L35" s="314">
        <f t="shared" si="5"/>
        <v>79347.036111523572</v>
      </c>
      <c r="X35" s="286" t="s">
        <v>207</v>
      </c>
    </row>
    <row r="36" spans="1:24" ht="15.6" customHeight="1" x14ac:dyDescent="0.3">
      <c r="A36" s="286" t="str">
        <f t="shared" si="6"/>
        <v>1315 Barr-Reeve Community Schools Inc</v>
      </c>
      <c r="B36" s="307" t="s">
        <v>2114</v>
      </c>
      <c r="C36" s="308" t="s">
        <v>2115</v>
      </c>
      <c r="D36" s="309">
        <v>191</v>
      </c>
      <c r="E36" s="310">
        <f t="shared" si="1"/>
        <v>1.1671962845270106E-3</v>
      </c>
      <c r="F36" s="311">
        <f t="shared" si="2"/>
        <v>32385.500601813739</v>
      </c>
      <c r="G36" s="312">
        <f>VLOOKUP(B36,'[1]Step 4 Final Title II FY20'!A36:Q433,15,FALSE)</f>
        <v>-4648.0140500177295</v>
      </c>
      <c r="H36" s="313">
        <v>1480</v>
      </c>
      <c r="I36" s="310">
        <f t="shared" si="3"/>
        <v>1.2896389707983912E-3</v>
      </c>
      <c r="J36" s="311">
        <f t="shared" si="4"/>
        <v>8945.7112352440909</v>
      </c>
      <c r="K36" s="312">
        <f>VLOOKUP(B36,'[1]Step 4 Final Title II FY20'!A36:Q433,16,FALSE)</f>
        <v>49.24753446696559</v>
      </c>
      <c r="L36" s="314">
        <f t="shared" si="5"/>
        <v>36732.445321507068</v>
      </c>
    </row>
    <row r="37" spans="1:24" ht="15.6" customHeight="1" x14ac:dyDescent="0.3">
      <c r="A37" s="286" t="str">
        <f t="shared" si="6"/>
        <v>1375 North Daviess Com Schools</v>
      </c>
      <c r="B37" s="307" t="s">
        <v>2116</v>
      </c>
      <c r="C37" s="308" t="s">
        <v>208</v>
      </c>
      <c r="D37" s="309">
        <v>284</v>
      </c>
      <c r="E37" s="310">
        <f t="shared" si="1"/>
        <v>1.7355169885113664E-3</v>
      </c>
      <c r="F37" s="311">
        <f t="shared" si="2"/>
        <v>48154.356915785873</v>
      </c>
      <c r="G37" s="312">
        <f>VLOOKUP(B37,'[1]Step 4 Final Title II FY20'!A37:Q434,15,FALSE)</f>
        <v>-9639.8213260372286</v>
      </c>
      <c r="H37" s="313">
        <v>2263</v>
      </c>
      <c r="I37" s="310">
        <f t="shared" si="3"/>
        <v>1.9719276965653779E-3</v>
      </c>
      <c r="J37" s="311">
        <f t="shared" si="4"/>
        <v>13678.476030646878</v>
      </c>
      <c r="K37" s="312">
        <f>VLOOKUP(B37,'[1]Step 4 Final Title II FY20'!A37:Q434,16,FALSE)</f>
        <v>110.88868854990505</v>
      </c>
      <c r="L37" s="314">
        <f t="shared" si="5"/>
        <v>52303.900308945435</v>
      </c>
    </row>
    <row r="38" spans="1:24" ht="15.6" customHeight="1" x14ac:dyDescent="0.3">
      <c r="A38" s="286" t="str">
        <f t="shared" si="6"/>
        <v>1405 Washington Community Schools</v>
      </c>
      <c r="B38" s="307" t="s">
        <v>2117</v>
      </c>
      <c r="C38" s="308" t="s">
        <v>2118</v>
      </c>
      <c r="D38" s="309">
        <v>673</v>
      </c>
      <c r="E38" s="310">
        <f t="shared" si="1"/>
        <v>4.1126863847470059E-3</v>
      </c>
      <c r="F38" s="311">
        <f t="shared" si="2"/>
        <v>114112.26128283062</v>
      </c>
      <c r="G38" s="312">
        <f>VLOOKUP(B38,'[1]Step 4 Final Title II FY20'!A38:Q435,15,FALSE)</f>
        <v>-13429.292213395063</v>
      </c>
      <c r="H38" s="313">
        <v>3317</v>
      </c>
      <c r="I38" s="310">
        <f t="shared" si="3"/>
        <v>2.8903597744177455E-3</v>
      </c>
      <c r="J38" s="311">
        <f t="shared" si="4"/>
        <v>20049.273086016656</v>
      </c>
      <c r="K38" s="312">
        <f>VLOOKUP(B38,'[1]Step 4 Final Title II FY20'!A38:Q435,16,FALSE)</f>
        <v>142.2890326170309</v>
      </c>
      <c r="L38" s="314">
        <f t="shared" si="5"/>
        <v>120874.53118806923</v>
      </c>
    </row>
    <row r="39" spans="1:24" ht="15.6" customHeight="1" x14ac:dyDescent="0.3">
      <c r="A39" s="286" t="str">
        <f t="shared" si="6"/>
        <v>1560 Sunman-Dearborn Com Sch Corp</v>
      </c>
      <c r="B39" s="307" t="s">
        <v>2119</v>
      </c>
      <c r="C39" s="308" t="s">
        <v>209</v>
      </c>
      <c r="D39" s="309">
        <v>308</v>
      </c>
      <c r="E39" s="310">
        <f t="shared" si="1"/>
        <v>1.8821803959912001E-3</v>
      </c>
      <c r="F39" s="311">
        <f t="shared" si="2"/>
        <v>52223.739190359323</v>
      </c>
      <c r="G39" s="312">
        <f>VLOOKUP(B39,'[1]Step 4 Final Title II FY20'!A39:Q436,15,FALSE)</f>
        <v>-2683.5080761425634</v>
      </c>
      <c r="H39" s="313">
        <v>4293</v>
      </c>
      <c r="I39" s="310">
        <f t="shared" si="3"/>
        <v>3.740824392998306E-3</v>
      </c>
      <c r="J39" s="311">
        <f t="shared" si="4"/>
        <v>25948.606981691137</v>
      </c>
      <c r="K39" s="312">
        <f>VLOOKUP(B39,'[1]Step 4 Final Title II FY20'!A39:Q436,16,FALSE)</f>
        <v>-539.9406250240354</v>
      </c>
      <c r="L39" s="314">
        <f t="shared" si="5"/>
        <v>74948.89747088385</v>
      </c>
    </row>
    <row r="40" spans="1:24" ht="15.6" customHeight="1" x14ac:dyDescent="0.3">
      <c r="A40" s="286" t="str">
        <f t="shared" si="6"/>
        <v>1600 South Dearborn Community Sch Corp</v>
      </c>
      <c r="B40" s="307" t="s">
        <v>2120</v>
      </c>
      <c r="C40" s="308" t="s">
        <v>2121</v>
      </c>
      <c r="D40" s="309">
        <v>491</v>
      </c>
      <c r="E40" s="310">
        <f t="shared" si="1"/>
        <v>3.0004888780249326E-3</v>
      </c>
      <c r="F40" s="311">
        <f t="shared" si="2"/>
        <v>83252.779033981904</v>
      </c>
      <c r="G40" s="312">
        <f>VLOOKUP(B40,'[1]Step 4 Final Title II FY20'!A40:Q437,15,FALSE)</f>
        <v>-8181.8797358201409</v>
      </c>
      <c r="H40" s="313">
        <v>2796</v>
      </c>
      <c r="I40" s="310">
        <f t="shared" si="3"/>
        <v>2.4363720015893927E-3</v>
      </c>
      <c r="J40" s="311">
        <f t="shared" si="4"/>
        <v>16900.140955231403</v>
      </c>
      <c r="K40" s="312">
        <f>VLOOKUP(B40,'[1]Step 4 Final Title II FY20'!A40:Q437,16,FALSE)</f>
        <v>-338.65266394242281</v>
      </c>
      <c r="L40" s="314">
        <f t="shared" si="5"/>
        <v>91632.387589450736</v>
      </c>
    </row>
    <row r="41" spans="1:24" ht="15.6" customHeight="1" x14ac:dyDescent="0.3">
      <c r="A41" s="286" t="str">
        <f t="shared" si="6"/>
        <v>1620 Lawrenceburg Community School Corp</v>
      </c>
      <c r="B41" s="307" t="s">
        <v>2122</v>
      </c>
      <c r="C41" s="308" t="s">
        <v>2123</v>
      </c>
      <c r="D41" s="309">
        <v>270</v>
      </c>
      <c r="E41" s="310">
        <f t="shared" si="1"/>
        <v>1.6499633341481301E-3</v>
      </c>
      <c r="F41" s="311">
        <f t="shared" si="2"/>
        <v>45780.550588951359</v>
      </c>
      <c r="G41" s="312">
        <f>VLOOKUP(B41,'[1]Step 4 Final Title II FY20'!A41:Q438,15,FALSE)</f>
        <v>2636.2745628313714</v>
      </c>
      <c r="H41" s="313">
        <v>1649</v>
      </c>
      <c r="I41" s="310">
        <f t="shared" si="3"/>
        <v>1.4369017992206397E-3</v>
      </c>
      <c r="J41" s="311">
        <f t="shared" si="4"/>
        <v>9967.2147479172327</v>
      </c>
      <c r="K41" s="312">
        <f>VLOOKUP(B41,'[1]Step 4 Final Title II FY20'!A41:Q438,16,FALSE)</f>
        <v>-285.542810870822</v>
      </c>
      <c r="L41" s="314">
        <f t="shared" si="5"/>
        <v>58098.497088829143</v>
      </c>
    </row>
    <row r="42" spans="1:24" ht="15.6" customHeight="1" x14ac:dyDescent="0.3">
      <c r="A42" s="286" t="str">
        <f t="shared" si="6"/>
        <v>1655 Decatur County Community Schools</v>
      </c>
      <c r="B42" s="307" t="s">
        <v>2124</v>
      </c>
      <c r="C42" s="308" t="s">
        <v>2125</v>
      </c>
      <c r="D42" s="309">
        <v>282</v>
      </c>
      <c r="E42" s="310">
        <f t="shared" si="1"/>
        <v>1.723295037888047E-3</v>
      </c>
      <c r="F42" s="311">
        <f t="shared" si="2"/>
        <v>47815.241726238084</v>
      </c>
      <c r="G42" s="312">
        <f>VLOOKUP(B42,'[1]Step 4 Final Title II FY20'!A42:Q439,15,FALSE)</f>
        <v>-557.53076021245943</v>
      </c>
      <c r="H42" s="313">
        <v>2232</v>
      </c>
      <c r="I42" s="310">
        <f t="shared" si="3"/>
        <v>1.9449149883932493E-3</v>
      </c>
      <c r="J42" s="311">
        <f t="shared" si="4"/>
        <v>13491.099646665412</v>
      </c>
      <c r="K42" s="312">
        <f>VLOOKUP(B42,'[1]Step 4 Final Title II FY20'!A42:Q439,16,FALSE)</f>
        <v>-106.75260495959628</v>
      </c>
      <c r="L42" s="314">
        <f t="shared" si="5"/>
        <v>60642.058007731437</v>
      </c>
    </row>
    <row r="43" spans="1:24" ht="15.6" customHeight="1" x14ac:dyDescent="0.3">
      <c r="A43" s="286" t="str">
        <f t="shared" si="6"/>
        <v>1730 Greensburg Community Schools</v>
      </c>
      <c r="B43" s="307" t="s">
        <v>2126</v>
      </c>
      <c r="C43" s="308" t="s">
        <v>210</v>
      </c>
      <c r="D43" s="309">
        <v>333</v>
      </c>
      <c r="E43" s="310">
        <f t="shared" si="1"/>
        <v>2.0349547787826936E-3</v>
      </c>
      <c r="F43" s="311">
        <f t="shared" si="2"/>
        <v>56462.679059706672</v>
      </c>
      <c r="G43" s="312">
        <f>VLOOKUP(B43,'[1]Step 4 Final Title II FY20'!A43:Q440,15,FALSE)</f>
        <v>-527.38817941503657</v>
      </c>
      <c r="H43" s="313">
        <v>2419</v>
      </c>
      <c r="I43" s="310">
        <f t="shared" si="3"/>
        <v>2.1078626151089918E-3</v>
      </c>
      <c r="J43" s="311">
        <f t="shared" si="4"/>
        <v>14621.402350037468</v>
      </c>
      <c r="K43" s="312">
        <f>VLOOKUP(B43,'[1]Step 4 Final Title II FY20'!A43:Q440,16,FALSE)</f>
        <v>-64.923705661920394</v>
      </c>
      <c r="L43" s="314">
        <f t="shared" si="5"/>
        <v>70491.769524667194</v>
      </c>
    </row>
    <row r="44" spans="1:24" ht="15.6" customHeight="1" x14ac:dyDescent="0.3">
      <c r="A44" s="286" t="str">
        <f t="shared" si="6"/>
        <v>1805 DeKalb Co Eastern Com Sch Dist</v>
      </c>
      <c r="B44" s="307" t="s">
        <v>2127</v>
      </c>
      <c r="C44" s="308" t="s">
        <v>211</v>
      </c>
      <c r="D44" s="309">
        <v>227</v>
      </c>
      <c r="E44" s="310">
        <f t="shared" si="1"/>
        <v>1.3871913957467612E-3</v>
      </c>
      <c r="F44" s="311">
        <f t="shared" si="2"/>
        <v>38489.574013673919</v>
      </c>
      <c r="G44" s="312">
        <f>VLOOKUP(B44,'[1]Step 4 Final Title II FY20'!A44:Q441,15,FALSE)</f>
        <v>1509.1012964673464</v>
      </c>
      <c r="H44" s="313">
        <v>1522</v>
      </c>
      <c r="I44" s="310">
        <f t="shared" si="3"/>
        <v>1.3262368334832104E-3</v>
      </c>
      <c r="J44" s="311">
        <f t="shared" si="4"/>
        <v>9199.5760135415585</v>
      </c>
      <c r="K44" s="312">
        <f>VLOOKUP(B44,'[1]Step 4 Final Title II FY20'!A44:Q441,16,FALSE)</f>
        <v>-16.174501674922794</v>
      </c>
      <c r="L44" s="314">
        <f t="shared" si="5"/>
        <v>49182.076822007904</v>
      </c>
    </row>
    <row r="45" spans="1:24" ht="15.6" customHeight="1" x14ac:dyDescent="0.3">
      <c r="A45" s="286" t="str">
        <f t="shared" si="6"/>
        <v>1820 Garrett-Keyser-Butler Com Sch Corp</v>
      </c>
      <c r="B45" s="307" t="s">
        <v>2128</v>
      </c>
      <c r="C45" s="308" t="s">
        <v>2129</v>
      </c>
      <c r="D45" s="309">
        <v>258</v>
      </c>
      <c r="E45" s="310">
        <f t="shared" si="1"/>
        <v>1.5766316304082133E-3</v>
      </c>
      <c r="F45" s="311">
        <f t="shared" si="2"/>
        <v>43745.859451664634</v>
      </c>
      <c r="G45" s="312">
        <f>VLOOKUP(B45,'[1]Step 4 Final Title II FY20'!A45:Q442,15,FALSE)</f>
        <v>-3942.9500061086292</v>
      </c>
      <c r="H45" s="313">
        <v>1778</v>
      </c>
      <c r="I45" s="310">
        <f t="shared" si="3"/>
        <v>1.5493095203240131E-3</v>
      </c>
      <c r="J45" s="311">
        <f t="shared" si="4"/>
        <v>10746.942281259455</v>
      </c>
      <c r="K45" s="312">
        <f>VLOOKUP(B45,'[1]Step 4 Final Title II FY20'!A45:Q442,16,FALSE)</f>
        <v>-6.773517951985923</v>
      </c>
      <c r="L45" s="314">
        <f t="shared" si="5"/>
        <v>50543.078208863473</v>
      </c>
    </row>
    <row r="46" spans="1:24" ht="15.6" customHeight="1" x14ac:dyDescent="0.3">
      <c r="A46" s="286" t="str">
        <f t="shared" si="6"/>
        <v>1835 DeKalb Co Ctl United Sch Dist</v>
      </c>
      <c r="B46" s="307" t="s">
        <v>2130</v>
      </c>
      <c r="C46" s="308" t="s">
        <v>212</v>
      </c>
      <c r="D46" s="309">
        <v>575</v>
      </c>
      <c r="E46" s="310">
        <f t="shared" si="1"/>
        <v>3.5138108042043511E-3</v>
      </c>
      <c r="F46" s="311">
        <f t="shared" si="2"/>
        <v>97495.616994989003</v>
      </c>
      <c r="G46" s="312">
        <f>VLOOKUP(B46,'[1]Step 4 Final Title II FY20'!A46:Q443,15,FALSE)</f>
        <v>-9351.2805827857446</v>
      </c>
      <c r="H46" s="313">
        <v>4210</v>
      </c>
      <c r="I46" s="310">
        <f t="shared" si="3"/>
        <v>3.6685000453116393E-3</v>
      </c>
      <c r="J46" s="311">
        <f t="shared" si="4"/>
        <v>25446.921824579473</v>
      </c>
      <c r="K46" s="312">
        <f>VLOOKUP(B46,'[1]Step 4 Final Title II FY20'!A46:Q443,16,FALSE)</f>
        <v>46.806279372693098</v>
      </c>
      <c r="L46" s="314">
        <f t="shared" si="5"/>
        <v>113638.06451615543</v>
      </c>
    </row>
    <row r="47" spans="1:24" ht="15.6" customHeight="1" x14ac:dyDescent="0.3">
      <c r="A47" s="286" t="str">
        <f t="shared" si="6"/>
        <v>1875 Delaware Community School Corp</v>
      </c>
      <c r="B47" s="307" t="s">
        <v>2131</v>
      </c>
      <c r="C47" s="308" t="s">
        <v>213</v>
      </c>
      <c r="D47" s="309">
        <v>327</v>
      </c>
      <c r="E47" s="310">
        <f t="shared" si="1"/>
        <v>1.9982889269127353E-3</v>
      </c>
      <c r="F47" s="311">
        <f t="shared" si="2"/>
        <v>55445.333491063313</v>
      </c>
      <c r="G47" s="312">
        <f>VLOOKUP(B47,'[1]Step 4 Final Title II FY20'!A47:Q444,15,FALSE)</f>
        <v>1893.8222874693165</v>
      </c>
      <c r="H47" s="313">
        <v>2352</v>
      </c>
      <c r="I47" s="310">
        <f t="shared" si="3"/>
        <v>2.0494803103498754E-3</v>
      </c>
      <c r="J47" s="311">
        <f t="shared" si="4"/>
        <v>14216.427584658175</v>
      </c>
      <c r="K47" s="312">
        <f>VLOOKUP(B47,'[1]Step 4 Final Title II FY20'!A47:Q444,16,FALSE)</f>
        <v>-225.08957706607725</v>
      </c>
      <c r="L47" s="314">
        <f t="shared" si="5"/>
        <v>71330.493786124731</v>
      </c>
    </row>
    <row r="48" spans="1:24" ht="15.6" customHeight="1" x14ac:dyDescent="0.3">
      <c r="A48" s="286" t="str">
        <f t="shared" si="6"/>
        <v>1885 Wes-Del Community Schools</v>
      </c>
      <c r="B48" s="307" t="s">
        <v>2132</v>
      </c>
      <c r="C48" s="308" t="s">
        <v>214</v>
      </c>
      <c r="D48" s="309">
        <v>124</v>
      </c>
      <c r="E48" s="310">
        <f t="shared" si="1"/>
        <v>7.577609386458079E-4</v>
      </c>
      <c r="F48" s="311">
        <f t="shared" si="2"/>
        <v>21025.141751962845</v>
      </c>
      <c r="G48" s="312">
        <f>VLOOKUP(B48,'[1]Step 4 Final Title II FY20'!A48:Q445,15,FALSE)</f>
        <v>1064.4818032623225</v>
      </c>
      <c r="H48" s="313">
        <v>754</v>
      </c>
      <c r="I48" s="310">
        <f t="shared" si="3"/>
        <v>6.5701877296080191E-4</v>
      </c>
      <c r="J48" s="311">
        <f t="shared" si="4"/>
        <v>4557.4772103878677</v>
      </c>
      <c r="K48" s="312">
        <f>VLOOKUP(B48,'[1]Step 4 Final Title II FY20'!A48:Q445,16,FALSE)</f>
        <v>-24.678678619770835</v>
      </c>
      <c r="L48" s="314">
        <f t="shared" si="5"/>
        <v>26622.422086993265</v>
      </c>
    </row>
    <row r="49" spans="1:12" ht="15.6" customHeight="1" x14ac:dyDescent="0.3">
      <c r="A49" s="286" t="str">
        <f t="shared" si="6"/>
        <v>1895 Liberty-Perry Community Sch Corp</v>
      </c>
      <c r="B49" s="307" t="s">
        <v>2133</v>
      </c>
      <c r="C49" s="308" t="s">
        <v>2134</v>
      </c>
      <c r="D49" s="309">
        <v>166</v>
      </c>
      <c r="E49" s="310">
        <f t="shared" si="1"/>
        <v>1.0144219017355169E-3</v>
      </c>
      <c r="F49" s="311">
        <f t="shared" si="2"/>
        <v>28146.560732466387</v>
      </c>
      <c r="G49" s="312">
        <f>VLOOKUP(B49,'[1]Step 4 Final Title II FY20'!A49:Q446,15,FALSE)</f>
        <v>-1002.8968260661131</v>
      </c>
      <c r="H49" s="313">
        <v>957</v>
      </c>
      <c r="I49" s="310">
        <f t="shared" si="3"/>
        <v>8.3390844260409483E-4</v>
      </c>
      <c r="J49" s="311">
        <f t="shared" si="4"/>
        <v>5784.4903054922943</v>
      </c>
      <c r="K49" s="312">
        <f>VLOOKUP(B49,'[1]Step 4 Final Title II FY20'!A49:Q446,16,FALSE)</f>
        <v>-88.457610077797654</v>
      </c>
      <c r="L49" s="314">
        <f t="shared" si="5"/>
        <v>32839.696601814772</v>
      </c>
    </row>
    <row r="50" spans="1:12" ht="15.6" customHeight="1" x14ac:dyDescent="0.3">
      <c r="A50" s="286" t="str">
        <f t="shared" si="6"/>
        <v>1900 Cowan Community School Corp</v>
      </c>
      <c r="B50" s="307" t="s">
        <v>2135</v>
      </c>
      <c r="C50" s="308" t="s">
        <v>215</v>
      </c>
      <c r="D50" s="309">
        <v>57</v>
      </c>
      <c r="E50" s="310">
        <f t="shared" si="1"/>
        <v>3.4832559276460522E-4</v>
      </c>
      <c r="F50" s="311">
        <f t="shared" si="2"/>
        <v>9664.7829021119524</v>
      </c>
      <c r="G50" s="312">
        <f>VLOOKUP(B50,'[1]Step 4 Final Title II FY20'!A50:Q447,15,FALSE)</f>
        <v>-496.33244240803106</v>
      </c>
      <c r="H50" s="313">
        <v>593</v>
      </c>
      <c r="I50" s="310">
        <f t="shared" si="3"/>
        <v>5.1672696600232827E-4</v>
      </c>
      <c r="J50" s="311">
        <f t="shared" si="4"/>
        <v>3584.3288935809087</v>
      </c>
      <c r="K50" s="312">
        <f>VLOOKUP(B50,'[1]Step 4 Final Title II FY20'!A50:Q447,16,FALSE)</f>
        <v>5.7970267942891951E-2</v>
      </c>
      <c r="L50" s="314">
        <f t="shared" si="5"/>
        <v>12752.837323552772</v>
      </c>
    </row>
    <row r="51" spans="1:12" ht="15.6" customHeight="1" x14ac:dyDescent="0.3">
      <c r="A51" s="286" t="str">
        <f t="shared" si="6"/>
        <v>1910 Yorktown Community Schools</v>
      </c>
      <c r="B51" s="307" t="s">
        <v>2136</v>
      </c>
      <c r="C51" s="308" t="s">
        <v>216</v>
      </c>
      <c r="D51" s="309">
        <v>283</v>
      </c>
      <c r="E51" s="310">
        <f t="shared" si="1"/>
        <v>1.7294060131997067E-3</v>
      </c>
      <c r="F51" s="311">
        <f t="shared" si="2"/>
        <v>47984.799321011982</v>
      </c>
      <c r="G51" s="312">
        <f>VLOOKUP(B51,'[1]Step 4 Final Title II FY20'!A51:Q448,15,FALSE)</f>
        <v>10445.545053588634</v>
      </c>
      <c r="H51" s="313">
        <v>2169</v>
      </c>
      <c r="I51" s="310">
        <f t="shared" si="3"/>
        <v>1.8900181943660205E-3</v>
      </c>
      <c r="J51" s="311">
        <f t="shared" si="4"/>
        <v>13110.302479219212</v>
      </c>
      <c r="K51" s="312">
        <f>VLOOKUP(B51,'[1]Step 4 Final Title II FY20'!A51:Q448,16,FALSE)</f>
        <v>-35.204692403820445</v>
      </c>
      <c r="L51" s="314">
        <f t="shared" si="5"/>
        <v>71505.442161416009</v>
      </c>
    </row>
    <row r="52" spans="1:12" ht="15.6" customHeight="1" x14ac:dyDescent="0.3">
      <c r="A52" s="286" t="str">
        <f t="shared" si="6"/>
        <v>1940 Daleville Community Schools</v>
      </c>
      <c r="B52" s="307" t="s">
        <v>2137</v>
      </c>
      <c r="C52" s="308" t="s">
        <v>217</v>
      </c>
      <c r="D52" s="309">
        <v>95</v>
      </c>
      <c r="E52" s="310">
        <f t="shared" si="1"/>
        <v>5.8054265460767544E-4</v>
      </c>
      <c r="F52" s="311">
        <f t="shared" si="2"/>
        <v>16107.971503519924</v>
      </c>
      <c r="G52" s="312">
        <f>VLOOKUP(B52,'[1]Step 4 Final Title II FY20'!A52:Q449,15,FALSE)</f>
        <v>2891.1331917381522</v>
      </c>
      <c r="H52" s="313">
        <v>599</v>
      </c>
      <c r="I52" s="310">
        <f t="shared" si="3"/>
        <v>5.2195523210015967E-4</v>
      </c>
      <c r="J52" s="311">
        <f t="shared" si="4"/>
        <v>3620.5952904805476</v>
      </c>
      <c r="K52" s="312">
        <f>VLOOKUP(B52,'[1]Step 4 Final Title II FY20'!A52:Q449,16,FALSE)</f>
        <v>-46.175986349029699</v>
      </c>
      <c r="L52" s="314">
        <f t="shared" si="5"/>
        <v>22573.523999389596</v>
      </c>
    </row>
    <row r="53" spans="1:12" ht="15.6" customHeight="1" x14ac:dyDescent="0.3">
      <c r="A53" s="286" t="str">
        <f t="shared" si="6"/>
        <v>1970 Muncie Community Schools</v>
      </c>
      <c r="B53" s="307" t="s">
        <v>2138</v>
      </c>
      <c r="C53" s="308" t="s">
        <v>218</v>
      </c>
      <c r="D53" s="309">
        <v>2279</v>
      </c>
      <c r="E53" s="310">
        <f t="shared" si="1"/>
        <v>1.3926912735272549E-2</v>
      </c>
      <c r="F53" s="311">
        <f t="shared" si="2"/>
        <v>386421.75848970423</v>
      </c>
      <c r="G53" s="312">
        <f>VLOOKUP(B53,'[1]Step 4 Final Title II FY20'!A53:Q450,15,FALSE)</f>
        <v>49886.350688944105</v>
      </c>
      <c r="H53" s="313">
        <v>6696</v>
      </c>
      <c r="I53" s="310">
        <f t="shared" si="3"/>
        <v>5.834744965179748E-3</v>
      </c>
      <c r="J53" s="311">
        <f t="shared" si="4"/>
        <v>40473.298939996239</v>
      </c>
      <c r="K53" s="312">
        <f>VLOOKUP(B53,'[1]Step 4 Final Title II FY20'!A53:Q450,16,FALSE)</f>
        <v>-30.624526466519455</v>
      </c>
      <c r="L53" s="314">
        <f t="shared" si="5"/>
        <v>476750.78359217802</v>
      </c>
    </row>
    <row r="54" spans="1:12" ht="15.6" customHeight="1" x14ac:dyDescent="0.3">
      <c r="A54" s="286" t="str">
        <f t="shared" si="6"/>
        <v>2040 Northeast Dubois Co Sch Corp</v>
      </c>
      <c r="B54" s="307" t="s">
        <v>2139</v>
      </c>
      <c r="C54" s="308" t="s">
        <v>219</v>
      </c>
      <c r="D54" s="309">
        <v>57</v>
      </c>
      <c r="E54" s="310">
        <f t="shared" si="1"/>
        <v>3.4832559276460522E-4</v>
      </c>
      <c r="F54" s="311">
        <f t="shared" si="2"/>
        <v>9664.7829021119524</v>
      </c>
      <c r="G54" s="312">
        <f>VLOOKUP(B54,'[1]Step 4 Final Title II FY20'!A54:Q451,15,FALSE)</f>
        <v>945.79128476171172</v>
      </c>
      <c r="H54" s="313">
        <v>991</v>
      </c>
      <c r="I54" s="310">
        <f t="shared" si="3"/>
        <v>8.6353528382513887E-4</v>
      </c>
      <c r="J54" s="311">
        <f t="shared" si="4"/>
        <v>5989.9998879235764</v>
      </c>
      <c r="K54" s="312">
        <f>VLOOKUP(B54,'[1]Step 4 Final Title II FY20'!A54:Q451,16,FALSE)</f>
        <v>-42.112632874076553</v>
      </c>
      <c r="L54" s="314">
        <f t="shared" si="5"/>
        <v>16558.461441923166</v>
      </c>
    </row>
    <row r="55" spans="1:12" ht="15.6" customHeight="1" x14ac:dyDescent="0.3">
      <c r="A55" s="286" t="str">
        <f t="shared" si="6"/>
        <v>2100 Southeast Dubois Co Sch Corp</v>
      </c>
      <c r="B55" s="307" t="s">
        <v>2140</v>
      </c>
      <c r="C55" s="308" t="s">
        <v>220</v>
      </c>
      <c r="D55" s="309">
        <v>67</v>
      </c>
      <c r="E55" s="310">
        <f t="shared" si="1"/>
        <v>4.0943534588120263E-4</v>
      </c>
      <c r="F55" s="311">
        <f t="shared" si="2"/>
        <v>11360.358849850893</v>
      </c>
      <c r="G55" s="312">
        <f>VLOOKUP(B55,'[1]Step 4 Final Title II FY20'!A55:Q452,15,FALSE)</f>
        <v>2616.3639232840014</v>
      </c>
      <c r="H55" s="313">
        <v>1306</v>
      </c>
      <c r="I55" s="310">
        <f t="shared" si="3"/>
        <v>1.1380192539612829E-3</v>
      </c>
      <c r="J55" s="311">
        <f t="shared" si="4"/>
        <v>7893.9857251545818</v>
      </c>
      <c r="K55" s="312">
        <f>VLOOKUP(B55,'[1]Step 4 Final Title II FY20'!A55:Q452,16,FALSE)</f>
        <v>-98.155889410380041</v>
      </c>
      <c r="L55" s="314">
        <f t="shared" si="5"/>
        <v>21772.552608879094</v>
      </c>
    </row>
    <row r="56" spans="1:12" ht="15.6" customHeight="1" x14ac:dyDescent="0.3">
      <c r="A56" s="286" t="str">
        <f t="shared" si="6"/>
        <v>2110 Southwest Dubois Co Sch Corp</v>
      </c>
      <c r="B56" s="307" t="s">
        <v>2141</v>
      </c>
      <c r="C56" s="308" t="s">
        <v>221</v>
      </c>
      <c r="D56" s="309">
        <v>138</v>
      </c>
      <c r="E56" s="310">
        <f t="shared" si="1"/>
        <v>8.4331459300904428E-4</v>
      </c>
      <c r="F56" s="311">
        <f t="shared" si="2"/>
        <v>23398.948078797363</v>
      </c>
      <c r="G56" s="312">
        <f>VLOOKUP(B56,'[1]Step 4 Final Title II FY20'!A56:Q453,15,FALSE)</f>
        <v>5662.276049374319</v>
      </c>
      <c r="H56" s="313">
        <v>1741</v>
      </c>
      <c r="I56" s="310">
        <f t="shared" si="3"/>
        <v>1.5170685460540532E-3</v>
      </c>
      <c r="J56" s="311">
        <f t="shared" si="4"/>
        <v>10523.299500378353</v>
      </c>
      <c r="K56" s="312">
        <f>VLOOKUP(B56,'[1]Step 4 Final Title II FY20'!A56:Q453,16,FALSE)</f>
        <v>-93.448616532290544</v>
      </c>
      <c r="L56" s="314">
        <f t="shared" si="5"/>
        <v>39491.075012017747</v>
      </c>
    </row>
    <row r="57" spans="1:12" ht="15.6" customHeight="1" x14ac:dyDescent="0.3">
      <c r="A57" s="286" t="str">
        <f t="shared" si="6"/>
        <v>2120 Greater Jasper Consolidated Schs</v>
      </c>
      <c r="B57" s="307" t="s">
        <v>2142</v>
      </c>
      <c r="C57" s="308" t="s">
        <v>2143</v>
      </c>
      <c r="D57" s="309">
        <v>247</v>
      </c>
      <c r="E57" s="310">
        <f t="shared" si="1"/>
        <v>1.5094109019799561E-3</v>
      </c>
      <c r="F57" s="311">
        <f t="shared" si="2"/>
        <v>41880.725909151799</v>
      </c>
      <c r="G57" s="312">
        <f>VLOOKUP(B57,'[1]Step 4 Final Title II FY20'!A57:Q454,15,FALSE)</f>
        <v>2084.6896376730438</v>
      </c>
      <c r="H57" s="313">
        <v>3470</v>
      </c>
      <c r="I57" s="310">
        <f t="shared" si="3"/>
        <v>3.023680559912444E-3</v>
      </c>
      <c r="J57" s="311">
        <f t="shared" si="4"/>
        <v>20974.066206957428</v>
      </c>
      <c r="K57" s="312">
        <f>VLOOKUP(B57,'[1]Step 4 Final Title II FY20'!A57:Q454,16,FALSE)</f>
        <v>-173.59078466270876</v>
      </c>
      <c r="L57" s="314">
        <f t="shared" si="5"/>
        <v>64765.890969119559</v>
      </c>
    </row>
    <row r="58" spans="1:12" ht="15.6" customHeight="1" x14ac:dyDescent="0.3">
      <c r="A58" s="286" t="str">
        <f t="shared" si="6"/>
        <v>2155 Fairfield Community Schools</v>
      </c>
      <c r="B58" s="307" t="s">
        <v>2144</v>
      </c>
      <c r="C58" s="308" t="s">
        <v>222</v>
      </c>
      <c r="D58" s="309">
        <v>176</v>
      </c>
      <c r="E58" s="310">
        <f t="shared" si="1"/>
        <v>1.0755316548521144E-3</v>
      </c>
      <c r="F58" s="311">
        <f t="shared" si="2"/>
        <v>29842.136680205331</v>
      </c>
      <c r="G58" s="312">
        <f>VLOOKUP(B58,'[1]Step 4 Final Title II FY20'!A58:Q455,15,FALSE)</f>
        <v>7436.4679159985062</v>
      </c>
      <c r="H58" s="313">
        <v>3001</v>
      </c>
      <c r="I58" s="310">
        <f t="shared" si="3"/>
        <v>2.6150044265986295E-3</v>
      </c>
      <c r="J58" s="311">
        <f t="shared" si="4"/>
        <v>18139.242849302376</v>
      </c>
      <c r="K58" s="312">
        <f>VLOOKUP(B58,'[1]Step 4 Final Title II FY20'!A58:Q455,16,FALSE)</f>
        <v>-19.442229060263344</v>
      </c>
      <c r="L58" s="314">
        <f t="shared" si="5"/>
        <v>55398.405216445943</v>
      </c>
    </row>
    <row r="59" spans="1:12" ht="15.6" customHeight="1" x14ac:dyDescent="0.3">
      <c r="A59" s="286" t="str">
        <f t="shared" si="6"/>
        <v>2260 Baugo Community Schools</v>
      </c>
      <c r="B59" s="307" t="s">
        <v>2145</v>
      </c>
      <c r="C59" s="308" t="s">
        <v>223</v>
      </c>
      <c r="D59" s="309">
        <v>161</v>
      </c>
      <c r="E59" s="310">
        <f t="shared" si="1"/>
        <v>9.838670251772182E-4</v>
      </c>
      <c r="F59" s="311">
        <f t="shared" si="2"/>
        <v>27298.772758596919</v>
      </c>
      <c r="G59" s="312">
        <f>VLOOKUP(B59,'[1]Step 4 Final Title II FY20'!A59:Q456,15,FALSE)</f>
        <v>1007.9295049106622</v>
      </c>
      <c r="H59" s="313">
        <v>2003</v>
      </c>
      <c r="I59" s="310">
        <f t="shared" si="3"/>
        <v>1.7453694989926873E-3</v>
      </c>
      <c r="J59" s="311">
        <f t="shared" si="4"/>
        <v>12106.932164995887</v>
      </c>
      <c r="K59" s="312">
        <f>VLOOKUP(B59,'[1]Step 4 Final Title II FY20'!A59:Q456,16,FALSE)</f>
        <v>-37.169756789249732</v>
      </c>
      <c r="L59" s="314">
        <f t="shared" si="5"/>
        <v>40376.464671714224</v>
      </c>
    </row>
    <row r="60" spans="1:12" ht="15.6" customHeight="1" x14ac:dyDescent="0.3">
      <c r="A60" s="286" t="str">
        <f t="shared" si="6"/>
        <v>2270 Concord Community Schools</v>
      </c>
      <c r="B60" s="307" t="s">
        <v>2146</v>
      </c>
      <c r="C60" s="308" t="s">
        <v>224</v>
      </c>
      <c r="D60" s="309">
        <v>558</v>
      </c>
      <c r="E60" s="310">
        <f t="shared" si="1"/>
        <v>3.4099242239061353E-3</v>
      </c>
      <c r="F60" s="311">
        <f t="shared" si="2"/>
        <v>94613.137883832809</v>
      </c>
      <c r="G60" s="312">
        <f>VLOOKUP(B60,'[1]Step 4 Final Title II FY20'!A60:Q457,15,FALSE)</f>
        <v>2350.9134398703172</v>
      </c>
      <c r="H60" s="313">
        <v>5072</v>
      </c>
      <c r="I60" s="310">
        <f t="shared" si="3"/>
        <v>4.4196276080334055E-3</v>
      </c>
      <c r="J60" s="311">
        <f t="shared" si="4"/>
        <v>30657.194179160833</v>
      </c>
      <c r="K60" s="312">
        <f>VLOOKUP(B60,'[1]Step 4 Final Title II FY20'!A60:Q457,16,FALSE)</f>
        <v>-128.84822604312649</v>
      </c>
      <c r="L60" s="314">
        <f t="shared" si="5"/>
        <v>127492.39727682082</v>
      </c>
    </row>
    <row r="61" spans="1:12" ht="15.6" customHeight="1" x14ac:dyDescent="0.3">
      <c r="A61" s="286" t="str">
        <f t="shared" si="6"/>
        <v>2275 Middlebury Community Schools</v>
      </c>
      <c r="B61" s="307" t="s">
        <v>2147</v>
      </c>
      <c r="C61" s="308" t="s">
        <v>225</v>
      </c>
      <c r="D61" s="309">
        <v>338</v>
      </c>
      <c r="E61" s="310">
        <f t="shared" si="1"/>
        <v>2.0655096553409925E-3</v>
      </c>
      <c r="F61" s="311">
        <f t="shared" si="2"/>
        <v>57310.467033576148</v>
      </c>
      <c r="G61" s="312">
        <f>VLOOKUP(B61,'[1]Step 4 Final Title II FY20'!A61:Q458,15,FALSE)</f>
        <v>12656.917433066439</v>
      </c>
      <c r="H61" s="313">
        <v>5327</v>
      </c>
      <c r="I61" s="310">
        <f t="shared" si="3"/>
        <v>4.6418289171912359E-3</v>
      </c>
      <c r="J61" s="311">
        <f t="shared" si="4"/>
        <v>32198.516047395453</v>
      </c>
      <c r="K61" s="312">
        <f>VLOOKUP(B61,'[1]Step 4 Final Title II FY20'!A61:Q458,16,FALSE)</f>
        <v>-119.31401761608868</v>
      </c>
      <c r="L61" s="314">
        <f t="shared" si="5"/>
        <v>102046.58649642195</v>
      </c>
    </row>
    <row r="62" spans="1:12" ht="15.6" customHeight="1" x14ac:dyDescent="0.3">
      <c r="A62" s="286" t="str">
        <f t="shared" si="6"/>
        <v>2285 Wa-Nee Community Schools</v>
      </c>
      <c r="B62" s="307" t="s">
        <v>2148</v>
      </c>
      <c r="C62" s="308" t="s">
        <v>226</v>
      </c>
      <c r="D62" s="309">
        <v>478</v>
      </c>
      <c r="E62" s="310">
        <f t="shared" si="1"/>
        <v>2.9210461989733561E-3</v>
      </c>
      <c r="F62" s="311">
        <f t="shared" si="2"/>
        <v>81048.530301921288</v>
      </c>
      <c r="G62" s="312">
        <f>VLOOKUP(B62,'[1]Step 4 Final Title II FY20'!A62:Q459,15,FALSE)</f>
        <v>-350.09897431275749</v>
      </c>
      <c r="H62" s="313">
        <v>4492</v>
      </c>
      <c r="I62" s="310">
        <f t="shared" si="3"/>
        <v>3.9142285519097111E-3</v>
      </c>
      <c r="J62" s="311">
        <f t="shared" si="4"/>
        <v>27151.442478862467</v>
      </c>
      <c r="K62" s="312">
        <f>VLOOKUP(B62,'[1]Step 4 Final Title II FY20'!A62:Q459,16,FALSE)</f>
        <v>-95.467993396927341</v>
      </c>
      <c r="L62" s="314">
        <f t="shared" si="5"/>
        <v>107754.40581307407</v>
      </c>
    </row>
    <row r="63" spans="1:12" ht="15.6" customHeight="1" x14ac:dyDescent="0.3">
      <c r="A63" s="286" t="str">
        <f t="shared" si="6"/>
        <v>2305 Elkhart Community Schools</v>
      </c>
      <c r="B63" s="307" t="s">
        <v>2149</v>
      </c>
      <c r="C63" s="308" t="s">
        <v>227</v>
      </c>
      <c r="D63" s="309">
        <v>2329</v>
      </c>
      <c r="E63" s="310">
        <f t="shared" si="1"/>
        <v>1.4232461500855536E-2</v>
      </c>
      <c r="F63" s="311">
        <f t="shared" si="2"/>
        <v>394899.63822839892</v>
      </c>
      <c r="G63" s="312">
        <f>VLOOKUP(B63,'[1]Step 4 Final Title II FY20'!A63:Q460,15,FALSE)</f>
        <v>53614.456674936635</v>
      </c>
      <c r="H63" s="313">
        <v>14673</v>
      </c>
      <c r="I63" s="310">
        <f t="shared" si="3"/>
        <v>1.2785724742246481E-2</v>
      </c>
      <c r="J63" s="311">
        <f t="shared" si="4"/>
        <v>88689.473618065225</v>
      </c>
      <c r="K63" s="312">
        <f>VLOOKUP(B63,'[1]Step 4 Final Title II FY20'!A63:Q460,16,FALSE)</f>
        <v>-187.18355530801637</v>
      </c>
      <c r="L63" s="314">
        <f t="shared" si="5"/>
        <v>537016.38496609277</v>
      </c>
    </row>
    <row r="64" spans="1:12" ht="15.6" customHeight="1" x14ac:dyDescent="0.3">
      <c r="A64" s="286" t="str">
        <f t="shared" si="6"/>
        <v>2315 Goshen Community Schools</v>
      </c>
      <c r="B64" s="307" t="s">
        <v>2150</v>
      </c>
      <c r="C64" s="308" t="s">
        <v>228</v>
      </c>
      <c r="D64" s="309">
        <v>819</v>
      </c>
      <c r="E64" s="310">
        <f t="shared" si="1"/>
        <v>5.0048887802493277E-3</v>
      </c>
      <c r="F64" s="311">
        <f t="shared" si="2"/>
        <v>138867.67011981911</v>
      </c>
      <c r="G64" s="312">
        <f>VLOOKUP(B64,'[1]Step 4 Final Title II FY20'!A64:Q461,15,FALSE)</f>
        <v>18232.885262683471</v>
      </c>
      <c r="H64" s="313">
        <v>6962</v>
      </c>
      <c r="I64" s="310">
        <f t="shared" si="3"/>
        <v>6.0665314288502695E-3</v>
      </c>
      <c r="J64" s="311">
        <f t="shared" si="4"/>
        <v>42081.109202546868</v>
      </c>
      <c r="K64" s="312">
        <f>VLOOKUP(B64,'[1]Step 4 Final Title II FY20'!A64:Q461,16,FALSE)</f>
        <v>-140.71512895224441</v>
      </c>
      <c r="L64" s="314">
        <f t="shared" si="5"/>
        <v>199040.94945609721</v>
      </c>
    </row>
    <row r="65" spans="1:12" ht="15.6" customHeight="1" x14ac:dyDescent="0.3">
      <c r="A65" s="286" t="str">
        <f t="shared" si="6"/>
        <v>2395 Fayette County School Corporation</v>
      </c>
      <c r="B65" s="307" t="s">
        <v>2151</v>
      </c>
      <c r="C65" s="308" t="s">
        <v>2152</v>
      </c>
      <c r="D65" s="309">
        <v>597</v>
      </c>
      <c r="E65" s="310">
        <f t="shared" si="1"/>
        <v>3.6482522610608655E-3</v>
      </c>
      <c r="F65" s="311">
        <f t="shared" si="2"/>
        <v>101225.88408001467</v>
      </c>
      <c r="G65" s="312">
        <f>VLOOKUP(B65,'[1]Step 4 Final Title II FY20'!A65:Q462,15,FALSE)</f>
        <v>-1390.3840318317962</v>
      </c>
      <c r="H65" s="313">
        <v>3660</v>
      </c>
      <c r="I65" s="310">
        <f t="shared" si="3"/>
        <v>3.1892423196771022E-3</v>
      </c>
      <c r="J65" s="311">
        <f t="shared" si="4"/>
        <v>22122.502108779303</v>
      </c>
      <c r="K65" s="312">
        <f>VLOOKUP(B65,'[1]Step 4 Final Title II FY20'!A65:Q462,16,FALSE)</f>
        <v>-289.07452768978692</v>
      </c>
      <c r="L65" s="314">
        <f t="shared" si="5"/>
        <v>121668.9276292724</v>
      </c>
    </row>
    <row r="66" spans="1:12" ht="15.6" customHeight="1" x14ac:dyDescent="0.3">
      <c r="A66" s="286" t="str">
        <f t="shared" si="6"/>
        <v>2400 New Albany-Floyd Co Con Sch</v>
      </c>
      <c r="B66" s="307" t="s">
        <v>2153</v>
      </c>
      <c r="C66" s="308" t="s">
        <v>229</v>
      </c>
      <c r="D66" s="309">
        <v>1814</v>
      </c>
      <c r="E66" s="310">
        <f t="shared" si="1"/>
        <v>1.108530921535077E-2</v>
      </c>
      <c r="F66" s="311">
        <f t="shared" si="2"/>
        <v>307577.47691984358</v>
      </c>
      <c r="G66" s="312">
        <f>VLOOKUP(B66,'[1]Step 4 Final Title II FY20'!A66:Q463,15,FALSE)</f>
        <v>22991.624354032567</v>
      </c>
      <c r="H66" s="313">
        <v>12626</v>
      </c>
      <c r="I66" s="310">
        <f t="shared" si="3"/>
        <v>1.1002014625203031E-2</v>
      </c>
      <c r="J66" s="311">
        <f t="shared" si="4"/>
        <v>76316.58787580533</v>
      </c>
      <c r="K66" s="312">
        <f>VLOOKUP(B66,'[1]Step 4 Final Title II FY20'!A66:Q463,16,FALSE)</f>
        <v>-674.20299791169236</v>
      </c>
      <c r="L66" s="314">
        <f t="shared" si="5"/>
        <v>406211.48615176976</v>
      </c>
    </row>
    <row r="67" spans="1:12" ht="15.6" customHeight="1" x14ac:dyDescent="0.3">
      <c r="A67" s="286" t="str">
        <f t="shared" si="6"/>
        <v>2435 Attica Consolidated School Corp</v>
      </c>
      <c r="B67" s="307" t="s">
        <v>2154</v>
      </c>
      <c r="C67" s="308" t="s">
        <v>2155</v>
      </c>
      <c r="D67" s="309">
        <v>132</v>
      </c>
      <c r="E67" s="310">
        <f t="shared" si="1"/>
        <v>8.0664874113908585E-4</v>
      </c>
      <c r="F67" s="311">
        <f t="shared" si="2"/>
        <v>22381.602510154</v>
      </c>
      <c r="G67" s="312">
        <f>VLOOKUP(B67,'[1]Step 4 Final Title II FY20'!A67:Q464,15,FALSE)</f>
        <v>-3990.7635085075053</v>
      </c>
      <c r="H67" s="313">
        <v>784</v>
      </c>
      <c r="I67" s="310">
        <f t="shared" si="3"/>
        <v>6.8316010344995849E-4</v>
      </c>
      <c r="J67" s="311">
        <f t="shared" si="4"/>
        <v>4738.8091948860583</v>
      </c>
      <c r="K67" s="312">
        <f>VLOOKUP(B67,'[1]Step 4 Final Title II FY20'!A67:Q464,16,FALSE)</f>
        <v>-44.07769725950493</v>
      </c>
      <c r="L67" s="314">
        <f t="shared" si="5"/>
        <v>23085.570499273046</v>
      </c>
    </row>
    <row r="68" spans="1:12" ht="15.6" customHeight="1" x14ac:dyDescent="0.3">
      <c r="A68" s="286" t="str">
        <f t="shared" si="6"/>
        <v>2440 Covington Community School Corp</v>
      </c>
      <c r="B68" s="307" t="s">
        <v>2156</v>
      </c>
      <c r="C68" s="308" t="s">
        <v>2157</v>
      </c>
      <c r="D68" s="309">
        <v>77</v>
      </c>
      <c r="E68" s="310">
        <f t="shared" si="1"/>
        <v>4.7054509899780003E-4</v>
      </c>
      <c r="F68" s="311">
        <f t="shared" si="2"/>
        <v>13055.934797589831</v>
      </c>
      <c r="G68" s="312">
        <f>VLOOKUP(B68,'[1]Step 4 Final Title II FY20'!A68:Q465,15,FALSE)</f>
        <v>-3779.4322758036742</v>
      </c>
      <c r="H68" s="313">
        <v>815</v>
      </c>
      <c r="I68" s="310">
        <f t="shared" si="3"/>
        <v>7.1017281162208694E-4</v>
      </c>
      <c r="J68" s="311">
        <f t="shared" si="4"/>
        <v>4926.1855788675221</v>
      </c>
      <c r="K68" s="312">
        <f>VLOOKUP(B68,'[1]Step 4 Final Title II FY20'!A68:Q465,16,FALSE)</f>
        <v>-96.604061170485693</v>
      </c>
      <c r="L68" s="314">
        <f t="shared" si="5"/>
        <v>14106.084039483194</v>
      </c>
    </row>
    <row r="69" spans="1:12" ht="15.6" customHeight="1" x14ac:dyDescent="0.3">
      <c r="A69" s="286" t="str">
        <f t="shared" si="6"/>
        <v>2455 Southeast Fountain School Corp</v>
      </c>
      <c r="B69" s="307" t="s">
        <v>2158</v>
      </c>
      <c r="C69" s="308" t="s">
        <v>230</v>
      </c>
      <c r="D69" s="309">
        <v>153</v>
      </c>
      <c r="E69" s="310">
        <f t="shared" si="1"/>
        <v>9.3497922268394036E-4</v>
      </c>
      <c r="F69" s="311">
        <f t="shared" si="2"/>
        <v>25942.312000405771</v>
      </c>
      <c r="G69" s="312">
        <f>VLOOKUP(B69,'[1]Step 4 Final Title II FY20'!A69:Q466,15,FALSE)</f>
        <v>-2530.2222870876649</v>
      </c>
      <c r="H69" s="313">
        <v>1084</v>
      </c>
      <c r="I69" s="310">
        <f t="shared" si="3"/>
        <v>9.4457340834152431E-4</v>
      </c>
      <c r="J69" s="311">
        <f t="shared" si="4"/>
        <v>6552.1290398679694</v>
      </c>
      <c r="K69" s="312">
        <f>VLOOKUP(B69,'[1]Step 4 Final Title II FY20'!A69:Q466,16,FALSE)</f>
        <v>-113.4051980803315</v>
      </c>
      <c r="L69" s="314">
        <f t="shared" si="5"/>
        <v>29850.813555105746</v>
      </c>
    </row>
    <row r="70" spans="1:12" ht="15.6" customHeight="1" x14ac:dyDescent="0.3">
      <c r="A70" s="286" t="str">
        <f t="shared" si="6"/>
        <v>2475 Franklin County Community Sch Corp</v>
      </c>
      <c r="B70" s="307" t="s">
        <v>2159</v>
      </c>
      <c r="C70" s="308" t="s">
        <v>2160</v>
      </c>
      <c r="D70" s="309">
        <v>365</v>
      </c>
      <c r="E70" s="310">
        <f t="shared" si="1"/>
        <v>2.2305059887558053E-3</v>
      </c>
      <c r="F70" s="311">
        <f t="shared" si="2"/>
        <v>61888.522092471278</v>
      </c>
      <c r="G70" s="312">
        <f>VLOOKUP(B70,'[1]Step 4 Final Title II FY20'!A70:Q467,15,FALSE)</f>
        <v>-2974.6484505967965</v>
      </c>
      <c r="H70" s="313">
        <v>2801</v>
      </c>
      <c r="I70" s="310">
        <f t="shared" si="3"/>
        <v>2.4407288900042522E-3</v>
      </c>
      <c r="J70" s="311">
        <f t="shared" si="4"/>
        <v>16930.362952647767</v>
      </c>
      <c r="K70" s="312">
        <f>VLOOKUP(B70,'[1]Step 4 Final Title II FY20'!A70:Q467,16,FALSE)</f>
        <v>-358.76221433734463</v>
      </c>
      <c r="L70" s="314">
        <f t="shared" si="5"/>
        <v>75485.474380184911</v>
      </c>
    </row>
    <row r="71" spans="1:12" ht="15.6" customHeight="1" x14ac:dyDescent="0.3">
      <c r="A71" s="286" t="str">
        <f t="shared" ref="A71:A134" si="7">B71&amp;" "&amp;C71</f>
        <v>2645 Rochester Community School Corp</v>
      </c>
      <c r="B71" s="307" t="s">
        <v>2161</v>
      </c>
      <c r="C71" s="308" t="s">
        <v>2162</v>
      </c>
      <c r="D71" s="309">
        <v>248</v>
      </c>
      <c r="E71" s="310">
        <f t="shared" ref="E71:E134" si="8">D71/$D$5</f>
        <v>1.5155218772916158E-3</v>
      </c>
      <c r="F71" s="311">
        <f t="shared" ref="F71:F134" si="9">E71*$F$2</f>
        <v>42050.28350392569</v>
      </c>
      <c r="G71" s="312">
        <f>VLOOKUP(B71,'[1]Step 4 Final Title II FY20'!A71:Q468,15,FALSE)</f>
        <v>11788.888901805134</v>
      </c>
      <c r="H71" s="313">
        <v>1819</v>
      </c>
      <c r="I71" s="310">
        <f t="shared" ref="I71:I134" si="10">H71/$H$5</f>
        <v>1.5850360053258604E-3</v>
      </c>
      <c r="J71" s="311">
        <f t="shared" ref="J71:J134" si="11">I71*$J$2</f>
        <v>10994.762660073649</v>
      </c>
      <c r="K71" s="312">
        <f>VLOOKUP(B71,'[1]Step 4 Final Title II FY20'!A71:Q468,16,FALSE)</f>
        <v>-237.78787221540733</v>
      </c>
      <c r="L71" s="314">
        <f t="shared" ref="L71:L134" si="12">F71+G71+J71+K71</f>
        <v>64596.147193589066</v>
      </c>
    </row>
    <row r="72" spans="1:12" ht="15.6" customHeight="1" x14ac:dyDescent="0.3">
      <c r="A72" s="286" t="str">
        <f t="shared" si="7"/>
        <v>2650 Caston School Corporation</v>
      </c>
      <c r="B72" s="307" t="s">
        <v>2163</v>
      </c>
      <c r="C72" s="308" t="s">
        <v>231</v>
      </c>
      <c r="D72" s="309">
        <v>81</v>
      </c>
      <c r="E72" s="310">
        <f t="shared" si="8"/>
        <v>4.9498900024443906E-4</v>
      </c>
      <c r="F72" s="311">
        <f t="shared" si="9"/>
        <v>13734.165176685408</v>
      </c>
      <c r="G72" s="312">
        <f>VLOOKUP(B72,'[1]Step 4 Final Title II FY20'!A72:Q469,15,FALSE)</f>
        <v>-1875.0181338274451</v>
      </c>
      <c r="H72" s="313">
        <v>757</v>
      </c>
      <c r="I72" s="310">
        <f t="shared" si="10"/>
        <v>6.5963290600971761E-4</v>
      </c>
      <c r="J72" s="311">
        <f t="shared" si="11"/>
        <v>4575.6104088376869</v>
      </c>
      <c r="K72" s="312">
        <f>VLOOKUP(B72,'[1]Step 4 Final Title II FY20'!A72:Q469,16,FALSE)</f>
        <v>-70.901533178070167</v>
      </c>
      <c r="L72" s="314">
        <f t="shared" si="12"/>
        <v>16363.855918517582</v>
      </c>
    </row>
    <row r="73" spans="1:12" ht="15.6" customHeight="1" x14ac:dyDescent="0.3">
      <c r="A73" s="286" t="str">
        <f t="shared" si="7"/>
        <v>2725 East Gibson School Corporation</v>
      </c>
      <c r="B73" s="307" t="s">
        <v>2164</v>
      </c>
      <c r="C73" s="308" t="s">
        <v>232</v>
      </c>
      <c r="D73" s="309">
        <v>141</v>
      </c>
      <c r="E73" s="310">
        <f t="shared" si="8"/>
        <v>8.6164751894402349E-4</v>
      </c>
      <c r="F73" s="311">
        <f t="shared" si="9"/>
        <v>23907.620863119042</v>
      </c>
      <c r="G73" s="312">
        <f>VLOOKUP(B73,'[1]Step 4 Final Title II FY20'!A73:Q470,15,FALSE)</f>
        <v>-4021.4593322576584</v>
      </c>
      <c r="H73" s="313">
        <v>1090</v>
      </c>
      <c r="I73" s="310">
        <f t="shared" si="10"/>
        <v>9.4980167443935561E-4</v>
      </c>
      <c r="J73" s="311">
        <f t="shared" si="11"/>
        <v>6588.395436767607</v>
      </c>
      <c r="K73" s="312">
        <f>VLOOKUP(B73,'[1]Step 4 Final Title II FY20'!A73:Q470,16,FALSE)</f>
        <v>-54.408793936547227</v>
      </c>
      <c r="L73" s="314">
        <f t="shared" si="12"/>
        <v>26420.14817369244</v>
      </c>
    </row>
    <row r="74" spans="1:12" ht="15.6" customHeight="1" x14ac:dyDescent="0.3">
      <c r="A74" s="286" t="str">
        <f t="shared" si="7"/>
        <v>2735 North Gibson School Corporation</v>
      </c>
      <c r="B74" s="307" t="s">
        <v>2165</v>
      </c>
      <c r="C74" s="308" t="s">
        <v>2166</v>
      </c>
      <c r="D74" s="309">
        <v>342</v>
      </c>
      <c r="E74" s="310">
        <f t="shared" si="8"/>
        <v>2.0899535565876313E-3</v>
      </c>
      <c r="F74" s="311">
        <f t="shared" si="9"/>
        <v>57988.697412671718</v>
      </c>
      <c r="G74" s="312">
        <f>VLOOKUP(B74,'[1]Step 4 Final Title II FY20'!A74:Q471,15,FALSE)</f>
        <v>-5844.5711871862077</v>
      </c>
      <c r="H74" s="313">
        <v>2463</v>
      </c>
      <c r="I74" s="310">
        <f t="shared" si="10"/>
        <v>2.1462032331597547E-3</v>
      </c>
      <c r="J74" s="311">
        <f t="shared" si="11"/>
        <v>14887.355927301482</v>
      </c>
      <c r="K74" s="312">
        <f>VLOOKUP(B74,'[1]Step 4 Final Title II FY20'!A74:Q471,16,FALSE)</f>
        <v>-39.576443547099188</v>
      </c>
      <c r="L74" s="314">
        <f t="shared" si="12"/>
        <v>66991.905709239887</v>
      </c>
    </row>
    <row r="75" spans="1:12" ht="15.6" customHeight="1" x14ac:dyDescent="0.3">
      <c r="A75" s="286" t="str">
        <f t="shared" si="7"/>
        <v>2765 South Gibson School Corporation</v>
      </c>
      <c r="B75" s="307" t="s">
        <v>2167</v>
      </c>
      <c r="C75" s="308" t="s">
        <v>2168</v>
      </c>
      <c r="D75" s="309">
        <v>178</v>
      </c>
      <c r="E75" s="310">
        <f t="shared" si="8"/>
        <v>1.0877536054754338E-3</v>
      </c>
      <c r="F75" s="311">
        <f t="shared" si="9"/>
        <v>30181.251869753116</v>
      </c>
      <c r="G75" s="312">
        <f>VLOOKUP(B75,'[1]Step 4 Final Title II FY20'!A75:Q472,15,FALSE)</f>
        <v>-595.11232136127728</v>
      </c>
      <c r="H75" s="313">
        <v>2321</v>
      </c>
      <c r="I75" s="310">
        <f t="shared" si="10"/>
        <v>2.0224676021777469E-3</v>
      </c>
      <c r="J75" s="311">
        <f t="shared" si="11"/>
        <v>14029.051200676711</v>
      </c>
      <c r="K75" s="312">
        <f>VLOOKUP(B75,'[1]Step 4 Final Title II FY20'!A75:Q472,16,FALSE)</f>
        <v>11.839714496409215</v>
      </c>
      <c r="L75" s="314">
        <f t="shared" si="12"/>
        <v>43627.030463564959</v>
      </c>
    </row>
    <row r="76" spans="1:12" ht="15.6" customHeight="1" x14ac:dyDescent="0.3">
      <c r="A76" s="286" t="str">
        <f t="shared" si="7"/>
        <v>2815 Eastbrook Community Sch Corp</v>
      </c>
      <c r="B76" s="307" t="s">
        <v>2169</v>
      </c>
      <c r="C76" s="308" t="s">
        <v>233</v>
      </c>
      <c r="D76" s="309">
        <v>244</v>
      </c>
      <c r="E76" s="310">
        <f t="shared" si="8"/>
        <v>1.4910779760449768E-3</v>
      </c>
      <c r="F76" s="311">
        <f t="shared" si="9"/>
        <v>41372.053124830112</v>
      </c>
      <c r="G76" s="312">
        <f>VLOOKUP(B76,'[1]Step 4 Final Title II FY20'!A76:Q473,15,FALSE)</f>
        <v>11217.393337099456</v>
      </c>
      <c r="H76" s="313">
        <v>1516</v>
      </c>
      <c r="I76" s="310">
        <f t="shared" si="10"/>
        <v>1.3210085673853789E-3</v>
      </c>
      <c r="J76" s="311">
        <f t="shared" si="11"/>
        <v>9163.30961664192</v>
      </c>
      <c r="K76" s="312">
        <f>VLOOKUP(B76,'[1]Step 4 Final Title II FY20'!A76:Q473,16,FALSE)</f>
        <v>-101.87261909184781</v>
      </c>
      <c r="L76" s="314">
        <f t="shared" si="12"/>
        <v>61650.883459479643</v>
      </c>
    </row>
    <row r="77" spans="1:12" ht="15.6" customHeight="1" x14ac:dyDescent="0.3">
      <c r="A77" s="286" t="str">
        <f t="shared" si="7"/>
        <v>2825 Madison-Grant United School Corp</v>
      </c>
      <c r="B77" s="307" t="s">
        <v>2170</v>
      </c>
      <c r="C77" s="308" t="s">
        <v>2171</v>
      </c>
      <c r="D77" s="309">
        <v>204</v>
      </c>
      <c r="E77" s="310">
        <f t="shared" si="8"/>
        <v>1.2466389635785871E-3</v>
      </c>
      <c r="F77" s="311">
        <f t="shared" si="9"/>
        <v>34589.749333874359</v>
      </c>
      <c r="G77" s="312">
        <f>VLOOKUP(B77,'[1]Step 4 Final Title II FY20'!A77:Q474,15,FALSE)</f>
        <v>969.7947008090996</v>
      </c>
      <c r="H77" s="313">
        <v>1390</v>
      </c>
      <c r="I77" s="310">
        <f t="shared" si="10"/>
        <v>1.2112149793309214E-3</v>
      </c>
      <c r="J77" s="311">
        <f t="shared" si="11"/>
        <v>8401.7152817495171</v>
      </c>
      <c r="K77" s="312">
        <f>VLOOKUP(B77,'[1]Step 4 Final Title II FY20'!A77:Q474,16,FALSE)</f>
        <v>-57.126338337289781</v>
      </c>
      <c r="L77" s="314">
        <f t="shared" si="12"/>
        <v>43904.132978095688</v>
      </c>
    </row>
    <row r="78" spans="1:12" ht="15.6" customHeight="1" x14ac:dyDescent="0.3">
      <c r="A78" s="286" t="str">
        <f t="shared" si="7"/>
        <v>2855 Mississinewa Community School Corp</v>
      </c>
      <c r="B78" s="307" t="s">
        <v>2172</v>
      </c>
      <c r="C78" s="308" t="s">
        <v>234</v>
      </c>
      <c r="D78" s="309">
        <v>258</v>
      </c>
      <c r="E78" s="310">
        <f t="shared" si="8"/>
        <v>1.5766316304082133E-3</v>
      </c>
      <c r="F78" s="311">
        <f t="shared" si="9"/>
        <v>43745.859451664634</v>
      </c>
      <c r="G78" s="312">
        <f>VLOOKUP(B78,'[1]Step 4 Final Title II FY20'!A78:Q475,15,FALSE)</f>
        <v>-10306.557236148874</v>
      </c>
      <c r="H78" s="313">
        <v>1762</v>
      </c>
      <c r="I78" s="310">
        <f t="shared" si="10"/>
        <v>1.535367477396463E-3</v>
      </c>
      <c r="J78" s="311">
        <f t="shared" si="11"/>
        <v>10650.231889527087</v>
      </c>
      <c r="K78" s="312">
        <f>VLOOKUP(B78,'[1]Step 4 Final Title II FY20'!A78:Q475,16,FALSE)</f>
        <v>-92.582655955660812</v>
      </c>
      <c r="L78" s="314">
        <f t="shared" si="12"/>
        <v>43996.951449087188</v>
      </c>
    </row>
    <row r="79" spans="1:12" ht="15.6" customHeight="1" x14ac:dyDescent="0.3">
      <c r="A79" s="286" t="str">
        <f t="shared" si="7"/>
        <v>2865 Marion Community Schools</v>
      </c>
      <c r="B79" s="307" t="s">
        <v>2173</v>
      </c>
      <c r="C79" s="308" t="s">
        <v>235</v>
      </c>
      <c r="D79" s="309">
        <v>1384</v>
      </c>
      <c r="E79" s="310">
        <f t="shared" si="8"/>
        <v>8.4575898313370822E-3</v>
      </c>
      <c r="F79" s="311">
        <f t="shared" si="9"/>
        <v>234667.71116706921</v>
      </c>
      <c r="G79" s="312">
        <f>VLOOKUP(B79,'[1]Step 4 Final Title II FY20'!A79:Q476,15,FALSE)</f>
        <v>-17171.116181914927</v>
      </c>
      <c r="H79" s="313">
        <v>4631</v>
      </c>
      <c r="I79" s="310">
        <f t="shared" si="10"/>
        <v>4.0353500498428035E-3</v>
      </c>
      <c r="J79" s="311">
        <f t="shared" si="11"/>
        <v>27991.61400703742</v>
      </c>
      <c r="K79" s="312">
        <f>VLOOKUP(B79,'[1]Step 4 Final Title II FY20'!A79:Q476,16,FALSE)</f>
        <v>-503.28282509421842</v>
      </c>
      <c r="L79" s="314">
        <f t="shared" si="12"/>
        <v>244984.9261670975</v>
      </c>
    </row>
    <row r="80" spans="1:12" ht="15.6" customHeight="1" x14ac:dyDescent="0.3">
      <c r="A80" s="286" t="str">
        <f t="shared" si="7"/>
        <v>2920 Bloomfield School District</v>
      </c>
      <c r="B80" s="307" t="s">
        <v>2174</v>
      </c>
      <c r="C80" s="308" t="s">
        <v>236</v>
      </c>
      <c r="D80" s="309">
        <v>172</v>
      </c>
      <c r="E80" s="310">
        <f t="shared" si="8"/>
        <v>1.0510877536054754E-3</v>
      </c>
      <c r="F80" s="311">
        <f t="shared" si="9"/>
        <v>29163.906301109753</v>
      </c>
      <c r="G80" s="312">
        <f>VLOOKUP(B80,'[1]Step 4 Final Title II FY20'!A80:Q477,15,FALSE)</f>
        <v>-403.49839850892749</v>
      </c>
      <c r="H80" s="313">
        <v>1028</v>
      </c>
      <c r="I80" s="310">
        <f t="shared" si="10"/>
        <v>8.9577625809509872E-4</v>
      </c>
      <c r="J80" s="311">
        <f t="shared" si="11"/>
        <v>6213.6426688046795</v>
      </c>
      <c r="K80" s="312">
        <f>VLOOKUP(B80,'[1]Step 4 Final Title II FY20'!A80:Q477,16,FALSE)</f>
        <v>5.2093254930214243</v>
      </c>
      <c r="L80" s="314">
        <f t="shared" si="12"/>
        <v>34979.259896898526</v>
      </c>
    </row>
    <row r="81" spans="1:12" ht="15.6" customHeight="1" x14ac:dyDescent="0.3">
      <c r="A81" s="286" t="str">
        <f t="shared" si="7"/>
        <v>2940 Eastern Greene Schools</v>
      </c>
      <c r="B81" s="307" t="s">
        <v>2175</v>
      </c>
      <c r="C81" s="308" t="s">
        <v>237</v>
      </c>
      <c r="D81" s="309">
        <v>254</v>
      </c>
      <c r="E81" s="310">
        <f t="shared" si="8"/>
        <v>1.5521877291615742E-3</v>
      </c>
      <c r="F81" s="311">
        <f t="shared" si="9"/>
        <v>43067.629072569056</v>
      </c>
      <c r="G81" s="312">
        <f>VLOOKUP(B81,'[1]Step 4 Final Title II FY20'!A81:Q478,15,FALSE)</f>
        <v>584.52046685438108</v>
      </c>
      <c r="H81" s="313">
        <v>1359</v>
      </c>
      <c r="I81" s="310">
        <f t="shared" si="10"/>
        <v>1.184202271158793E-3</v>
      </c>
      <c r="J81" s="311">
        <f t="shared" si="11"/>
        <v>8214.3388977680534</v>
      </c>
      <c r="K81" s="312">
        <f>VLOOKUP(B81,'[1]Step 4 Final Title II FY20'!A81:Q478,16,FALSE)</f>
        <v>-96.801438252063235</v>
      </c>
      <c r="L81" s="314">
        <f t="shared" si="12"/>
        <v>51769.686998939425</v>
      </c>
    </row>
    <row r="82" spans="1:12" ht="15.6" customHeight="1" x14ac:dyDescent="0.3">
      <c r="A82" s="286" t="str">
        <f t="shared" si="7"/>
        <v>2950 Linton-Stockton School Corporation</v>
      </c>
      <c r="B82" s="307" t="s">
        <v>2176</v>
      </c>
      <c r="C82" s="308" t="s">
        <v>2177</v>
      </c>
      <c r="D82" s="309">
        <v>217</v>
      </c>
      <c r="E82" s="310">
        <f t="shared" si="8"/>
        <v>1.3260816426301637E-3</v>
      </c>
      <c r="F82" s="311">
        <f t="shared" si="9"/>
        <v>36793.998065934975</v>
      </c>
      <c r="G82" s="312">
        <f>VLOOKUP(B82,'[1]Step 4 Final Title II FY20'!A82:Q479,15,FALSE)</f>
        <v>1427.992339115568</v>
      </c>
      <c r="H82" s="313">
        <v>1164</v>
      </c>
      <c r="I82" s="310">
        <f t="shared" si="10"/>
        <v>1.0142836229792751E-3</v>
      </c>
      <c r="J82" s="311">
        <f t="shared" si="11"/>
        <v>7035.6809985298114</v>
      </c>
      <c r="K82" s="312">
        <f>VLOOKUP(B82,'[1]Step 4 Final Title II FY20'!A82:Q479,16,FALSE)</f>
        <v>-65.983321185161003</v>
      </c>
      <c r="L82" s="314">
        <f t="shared" si="12"/>
        <v>45191.688082395194</v>
      </c>
    </row>
    <row r="83" spans="1:12" ht="15.6" customHeight="1" x14ac:dyDescent="0.3">
      <c r="A83" s="286" t="str">
        <f t="shared" si="7"/>
        <v>2960 MSD Shakamak Schools</v>
      </c>
      <c r="B83" s="307" t="s">
        <v>2178</v>
      </c>
      <c r="C83" s="308" t="s">
        <v>2179</v>
      </c>
      <c r="D83" s="309">
        <v>158</v>
      </c>
      <c r="E83" s="310">
        <f t="shared" si="8"/>
        <v>9.6553409924223909E-4</v>
      </c>
      <c r="F83" s="311">
        <f t="shared" si="9"/>
        <v>26790.099974275239</v>
      </c>
      <c r="G83" s="312">
        <f>VLOOKUP(B83,'[1]Step 4 Final Title II FY20'!A83:Q480,15,FALSE)</f>
        <v>-1430.3986406224212</v>
      </c>
      <c r="H83" s="313">
        <v>799</v>
      </c>
      <c r="I83" s="310">
        <f t="shared" si="10"/>
        <v>6.9623076869453678E-4</v>
      </c>
      <c r="J83" s="311">
        <f t="shared" si="11"/>
        <v>4829.4751871351536</v>
      </c>
      <c r="K83" s="312">
        <f>VLOOKUP(B83,'[1]Step 4 Final Title II FY20'!A83:Q480,16,FALSE)</f>
        <v>-136.24585490923346</v>
      </c>
      <c r="L83" s="314">
        <f t="shared" si="12"/>
        <v>30052.930665878739</v>
      </c>
    </row>
    <row r="84" spans="1:12" ht="15.6" customHeight="1" x14ac:dyDescent="0.3">
      <c r="A84" s="286" t="str">
        <f t="shared" si="7"/>
        <v>2980 White River Valley School District</v>
      </c>
      <c r="B84" s="307" t="s">
        <v>2180</v>
      </c>
      <c r="C84" s="308" t="s">
        <v>2181</v>
      </c>
      <c r="D84" s="309">
        <v>150</v>
      </c>
      <c r="E84" s="310">
        <f t="shared" si="8"/>
        <v>9.1664629674896114E-4</v>
      </c>
      <c r="F84" s="311">
        <f t="shared" si="9"/>
        <v>25433.639216084088</v>
      </c>
      <c r="G84" s="312">
        <f>VLOOKUP(B84,'[1]Step 4 Final Title II FY20'!A84:Q481,15,FALSE)</f>
        <v>-161.47134205493785</v>
      </c>
      <c r="H84" s="313">
        <v>843</v>
      </c>
      <c r="I84" s="310">
        <f t="shared" si="10"/>
        <v>7.3457138674529979E-4</v>
      </c>
      <c r="J84" s="311">
        <f t="shared" si="11"/>
        <v>5095.4287643991674</v>
      </c>
      <c r="K84" s="312">
        <f>VLOOKUP(B84,'[1]Step 4 Final Title II FY20'!A84:Q481,16,FALSE)</f>
        <v>-43.245042858899069</v>
      </c>
      <c r="L84" s="314">
        <f t="shared" si="12"/>
        <v>30324.351595569417</v>
      </c>
    </row>
    <row r="85" spans="1:12" ht="15.6" customHeight="1" x14ac:dyDescent="0.3">
      <c r="A85" s="286" t="str">
        <f t="shared" si="7"/>
        <v>3005 Hamilton Southeastern Schools</v>
      </c>
      <c r="B85" s="307" t="s">
        <v>2182</v>
      </c>
      <c r="C85" s="308" t="s">
        <v>238</v>
      </c>
      <c r="D85" s="309">
        <v>864</v>
      </c>
      <c r="E85" s="310">
        <f t="shared" si="8"/>
        <v>5.279882669274016E-3</v>
      </c>
      <c r="F85" s="311">
        <f t="shared" si="9"/>
        <v>146497.76188464434</v>
      </c>
      <c r="G85" s="312">
        <f>VLOOKUP(B85,'[1]Step 4 Final Title II FY20'!A85:Q482,15,FALSE)</f>
        <v>9910.7178938221768</v>
      </c>
      <c r="H85" s="313">
        <v>23165</v>
      </c>
      <c r="I85" s="310">
        <f t="shared" si="10"/>
        <v>2.0185464026043737E-2</v>
      </c>
      <c r="J85" s="311">
        <f t="shared" si="11"/>
        <v>140018.51403001984</v>
      </c>
      <c r="K85" s="312">
        <f>VLOOKUP(B85,'[1]Step 4 Final Title II FY20'!A85:Q482,16,FALSE)</f>
        <v>1113.7717913159577</v>
      </c>
      <c r="L85" s="314">
        <f t="shared" si="12"/>
        <v>297540.76559980237</v>
      </c>
    </row>
    <row r="86" spans="1:12" ht="15.6" customHeight="1" x14ac:dyDescent="0.3">
      <c r="A86" s="286" t="str">
        <f t="shared" si="7"/>
        <v>3025 Hamilton Heights School Corp</v>
      </c>
      <c r="B86" s="307" t="s">
        <v>2183</v>
      </c>
      <c r="C86" s="308" t="s">
        <v>239</v>
      </c>
      <c r="D86" s="309">
        <v>164</v>
      </c>
      <c r="E86" s="310">
        <f t="shared" si="8"/>
        <v>1.0021999511121975E-3</v>
      </c>
      <c r="F86" s="311">
        <f t="shared" si="9"/>
        <v>27807.445542918602</v>
      </c>
      <c r="G86" s="312">
        <f>VLOOKUP(B86,'[1]Step 4 Final Title II FY20'!A86:Q483,15,FALSE)</f>
        <v>4338.0962680565499</v>
      </c>
      <c r="H86" s="313">
        <v>2739</v>
      </c>
      <c r="I86" s="310">
        <f t="shared" si="10"/>
        <v>2.3867034736599953E-3</v>
      </c>
      <c r="J86" s="311">
        <f t="shared" si="11"/>
        <v>16555.61018468484</v>
      </c>
      <c r="K86" s="312">
        <f>VLOOKUP(B86,'[1]Step 4 Final Title II FY20'!A86:Q483,16,FALSE)</f>
        <v>63.114005751711375</v>
      </c>
      <c r="L86" s="314">
        <f t="shared" si="12"/>
        <v>48764.266001411706</v>
      </c>
    </row>
    <row r="87" spans="1:12" ht="15.6" customHeight="1" x14ac:dyDescent="0.3">
      <c r="A87" s="286" t="str">
        <f t="shared" si="7"/>
        <v>3030 Westfield-Washington Schools</v>
      </c>
      <c r="B87" s="307" t="s">
        <v>2184</v>
      </c>
      <c r="C87" s="308" t="s">
        <v>240</v>
      </c>
      <c r="D87" s="309">
        <v>394</v>
      </c>
      <c r="E87" s="310">
        <f t="shared" si="8"/>
        <v>2.407724272793938E-3</v>
      </c>
      <c r="F87" s="311">
        <f t="shared" si="9"/>
        <v>66805.692340914204</v>
      </c>
      <c r="G87" s="312">
        <f>VLOOKUP(B87,'[1]Step 4 Final Title II FY20'!A87:Q484,15,FALSE)</f>
        <v>-1829.8042626313254</v>
      </c>
      <c r="H87" s="313">
        <v>8143</v>
      </c>
      <c r="I87" s="310">
        <f t="shared" si="10"/>
        <v>7.0956284724400668E-3</v>
      </c>
      <c r="J87" s="311">
        <f t="shared" si="11"/>
        <v>49219.544992292314</v>
      </c>
      <c r="K87" s="312">
        <f>VLOOKUP(B87,'[1]Step 4 Final Title II FY20'!A87:Q484,16,FALSE)</f>
        <v>149.14512058265973</v>
      </c>
      <c r="L87" s="314">
        <f t="shared" si="12"/>
        <v>114344.57819115785</v>
      </c>
    </row>
    <row r="88" spans="1:12" ht="15.6" customHeight="1" x14ac:dyDescent="0.3">
      <c r="A88" s="286" t="str">
        <f t="shared" si="7"/>
        <v>3055 Sheridan Community Schools</v>
      </c>
      <c r="B88" s="307" t="s">
        <v>2185</v>
      </c>
      <c r="C88" s="308" t="s">
        <v>241</v>
      </c>
      <c r="D88" s="309">
        <v>119</v>
      </c>
      <c r="E88" s="310">
        <f t="shared" si="8"/>
        <v>7.2720606208750917E-4</v>
      </c>
      <c r="F88" s="311">
        <f t="shared" si="9"/>
        <v>20177.353778093377</v>
      </c>
      <c r="G88" s="312">
        <f>VLOOKUP(B88,'[1]Step 4 Final Title II FY20'!A88:Q485,15,FALSE)</f>
        <v>1815.8662042730393</v>
      </c>
      <c r="H88" s="313">
        <v>1310</v>
      </c>
      <c r="I88" s="310">
        <f t="shared" si="10"/>
        <v>1.1415047646931705E-3</v>
      </c>
      <c r="J88" s="311">
        <f t="shared" si="11"/>
        <v>7918.1633230876751</v>
      </c>
      <c r="K88" s="312">
        <f>VLOOKUP(B88,'[1]Step 4 Final Title II FY20'!A88:Q485,16,FALSE)</f>
        <v>100.2751204568558</v>
      </c>
      <c r="L88" s="314">
        <f t="shared" si="12"/>
        <v>30011.658425910948</v>
      </c>
    </row>
    <row r="89" spans="1:12" ht="15.6" customHeight="1" x14ac:dyDescent="0.3">
      <c r="A89" s="286" t="str">
        <f t="shared" si="7"/>
        <v>3060 Carmel Clay Schools</v>
      </c>
      <c r="B89" s="307" t="s">
        <v>2186</v>
      </c>
      <c r="C89" s="308" t="s">
        <v>242</v>
      </c>
      <c r="D89" s="309">
        <v>605</v>
      </c>
      <c r="E89" s="310">
        <f t="shared" si="8"/>
        <v>3.6971400635541431E-3</v>
      </c>
      <c r="F89" s="311">
        <f t="shared" si="9"/>
        <v>102582.34483820581</v>
      </c>
      <c r="G89" s="312">
        <f>VLOOKUP(B89,'[1]Step 4 Final Title II FY20'!A89:Q486,15,FALSE)</f>
        <v>15229.007387498845</v>
      </c>
      <c r="H89" s="313">
        <v>20918</v>
      </c>
      <c r="I89" s="310">
        <f t="shared" si="10"/>
        <v>1.822747837240591E-2</v>
      </c>
      <c r="J89" s="311">
        <f t="shared" si="11"/>
        <v>126436.74839110534</v>
      </c>
      <c r="K89" s="312">
        <f>VLOOKUP(B89,'[1]Step 4 Final Title II FY20'!A89:Q486,16,FALSE)</f>
        <v>864.3033555605507</v>
      </c>
      <c r="L89" s="314">
        <f t="shared" si="12"/>
        <v>245112.40397237055</v>
      </c>
    </row>
    <row r="90" spans="1:12" ht="15.6" customHeight="1" x14ac:dyDescent="0.3">
      <c r="A90" s="286" t="str">
        <f t="shared" si="7"/>
        <v>3070 Noblesville Schools</v>
      </c>
      <c r="B90" s="307" t="s">
        <v>2187</v>
      </c>
      <c r="C90" s="308" t="s">
        <v>243</v>
      </c>
      <c r="D90" s="309">
        <v>588</v>
      </c>
      <c r="E90" s="310">
        <f t="shared" si="8"/>
        <v>3.5932534832559277E-3</v>
      </c>
      <c r="F90" s="311">
        <f t="shared" si="9"/>
        <v>99699.865727049619</v>
      </c>
      <c r="G90" s="312">
        <f>VLOOKUP(B90,'[1]Step 4 Final Title II FY20'!A90:Q487,15,FALSE)</f>
        <v>5818.7414587196545</v>
      </c>
      <c r="H90" s="313">
        <v>11364</v>
      </c>
      <c r="I90" s="310">
        <f t="shared" si="10"/>
        <v>9.9023359892925107E-3</v>
      </c>
      <c r="J90" s="311">
        <f t="shared" si="11"/>
        <v>68688.555727914762</v>
      </c>
      <c r="K90" s="312">
        <f>VLOOKUP(B90,'[1]Step 4 Final Title II FY20'!A90:Q487,16,FALSE)</f>
        <v>448.62467287901381</v>
      </c>
      <c r="L90" s="314">
        <f t="shared" si="12"/>
        <v>174655.78758656303</v>
      </c>
    </row>
    <row r="91" spans="1:12" ht="15.6" customHeight="1" x14ac:dyDescent="0.3">
      <c r="A91" s="286" t="str">
        <f t="shared" si="7"/>
        <v>3115 Southern Hancock Co Com Sch Corp</v>
      </c>
      <c r="B91" s="307" t="s">
        <v>2188</v>
      </c>
      <c r="C91" s="308" t="s">
        <v>244</v>
      </c>
      <c r="D91" s="309">
        <v>141</v>
      </c>
      <c r="E91" s="310">
        <f t="shared" si="8"/>
        <v>8.6164751894402349E-4</v>
      </c>
      <c r="F91" s="311">
        <f t="shared" si="9"/>
        <v>23907.620863119042</v>
      </c>
      <c r="G91" s="312">
        <f>VLOOKUP(B91,'[1]Step 4 Final Title II FY20'!A91:Q488,15,FALSE)</f>
        <v>178.78235039954961</v>
      </c>
      <c r="H91" s="313">
        <v>3502</v>
      </c>
      <c r="I91" s="310">
        <f t="shared" si="10"/>
        <v>3.0515646457675441E-3</v>
      </c>
      <c r="J91" s="311">
        <f t="shared" si="11"/>
        <v>21167.486990422163</v>
      </c>
      <c r="K91" s="312">
        <f>VLOOKUP(B91,'[1]Step 4 Final Title II FY20'!A91:Q488,16,FALSE)</f>
        <v>402.20330777119307</v>
      </c>
      <c r="L91" s="314">
        <f t="shared" si="12"/>
        <v>45656.093511711952</v>
      </c>
    </row>
    <row r="92" spans="1:12" ht="15.6" customHeight="1" x14ac:dyDescent="0.3">
      <c r="A92" s="286" t="str">
        <f t="shared" si="7"/>
        <v>3125 Greenfield-Central Com Schools</v>
      </c>
      <c r="B92" s="307" t="s">
        <v>2189</v>
      </c>
      <c r="C92" s="308" t="s">
        <v>245</v>
      </c>
      <c r="D92" s="309">
        <v>358</v>
      </c>
      <c r="E92" s="310">
        <f t="shared" si="8"/>
        <v>2.1877291615741874E-3</v>
      </c>
      <c r="F92" s="311">
        <f t="shared" si="9"/>
        <v>60701.618929054028</v>
      </c>
      <c r="G92" s="312">
        <f>VLOOKUP(B92,'[1]Step 4 Final Title II FY20'!A92:Q489,15,FALSE)</f>
        <v>-1446.5764169266113</v>
      </c>
      <c r="H92" s="313">
        <v>4918</v>
      </c>
      <c r="I92" s="310">
        <f t="shared" si="10"/>
        <v>4.2854354448557345E-3</v>
      </c>
      <c r="J92" s="311">
        <f t="shared" si="11"/>
        <v>29726.356658736779</v>
      </c>
      <c r="K92" s="312">
        <f>VLOOKUP(B92,'[1]Step 4 Final Title II FY20'!A92:Q489,16,FALSE)</f>
        <v>470.66112588042233</v>
      </c>
      <c r="L92" s="314">
        <f t="shared" si="12"/>
        <v>89452.060296744618</v>
      </c>
    </row>
    <row r="93" spans="1:12" ht="15.6" customHeight="1" x14ac:dyDescent="0.3">
      <c r="A93" s="286" t="str">
        <f t="shared" si="7"/>
        <v>3135 Mt Vernon Community School Corp</v>
      </c>
      <c r="B93" s="307" t="s">
        <v>2190</v>
      </c>
      <c r="C93" s="308" t="s">
        <v>2191</v>
      </c>
      <c r="D93" s="309">
        <v>187</v>
      </c>
      <c r="E93" s="310">
        <f t="shared" si="8"/>
        <v>1.1427523832803716E-3</v>
      </c>
      <c r="F93" s="311">
        <f t="shared" si="9"/>
        <v>31707.270222718162</v>
      </c>
      <c r="G93" s="312">
        <f>VLOOKUP(B93,'[1]Step 4 Final Title II FY20'!A93:Q490,15,FALSE)</f>
        <v>-688.49960821312561</v>
      </c>
      <c r="H93" s="313">
        <v>3820</v>
      </c>
      <c r="I93" s="310">
        <f t="shared" si="10"/>
        <v>3.328662748952604E-3</v>
      </c>
      <c r="J93" s="311">
        <f t="shared" si="11"/>
        <v>23089.606026102989</v>
      </c>
      <c r="K93" s="312">
        <f>VLOOKUP(B93,'[1]Step 4 Final Title II FY20'!A93:Q490,16,FALSE)</f>
        <v>273.08005458199841</v>
      </c>
      <c r="L93" s="314">
        <f t="shared" si="12"/>
        <v>54381.45669519002</v>
      </c>
    </row>
    <row r="94" spans="1:12" ht="15.6" customHeight="1" x14ac:dyDescent="0.3">
      <c r="A94" s="286" t="str">
        <f t="shared" si="7"/>
        <v>3145 Eastern Hancock Co Com Sch Corp</v>
      </c>
      <c r="B94" s="307" t="s">
        <v>2192</v>
      </c>
      <c r="C94" s="308" t="s">
        <v>246</v>
      </c>
      <c r="D94" s="309">
        <v>75</v>
      </c>
      <c r="E94" s="310">
        <f t="shared" si="8"/>
        <v>4.5832314837448057E-4</v>
      </c>
      <c r="F94" s="311">
        <f t="shared" si="9"/>
        <v>12716.819608042044</v>
      </c>
      <c r="G94" s="312">
        <f>VLOOKUP(B94,'[1]Step 4 Final Title II FY20'!A94:Q491,15,FALSE)</f>
        <v>650.55813380745531</v>
      </c>
      <c r="H94" s="313">
        <v>1132</v>
      </c>
      <c r="I94" s="310">
        <f t="shared" si="10"/>
        <v>9.8639953712417478E-4</v>
      </c>
      <c r="J94" s="311">
        <f t="shared" si="11"/>
        <v>6842.2602150650746</v>
      </c>
      <c r="K94" s="312">
        <f>VLOOKUP(B94,'[1]Step 4 Final Title II FY20'!A94:Q491,16,FALSE)</f>
        <v>118.23087146887337</v>
      </c>
      <c r="L94" s="314">
        <f t="shared" si="12"/>
        <v>20327.868828383445</v>
      </c>
    </row>
    <row r="95" spans="1:12" ht="15.6" customHeight="1" x14ac:dyDescent="0.3">
      <c r="A95" s="286" t="str">
        <f t="shared" si="7"/>
        <v>3160 Lanesville Community School Corp</v>
      </c>
      <c r="B95" s="307" t="s">
        <v>2193</v>
      </c>
      <c r="C95" s="308" t="s">
        <v>247</v>
      </c>
      <c r="D95" s="309">
        <v>52</v>
      </c>
      <c r="E95" s="310">
        <f t="shared" si="8"/>
        <v>3.1777071620630654E-4</v>
      </c>
      <c r="F95" s="311">
        <f t="shared" si="9"/>
        <v>8816.9949282424841</v>
      </c>
      <c r="G95" s="312">
        <f>VLOOKUP(B95,'[1]Step 4 Final Title II FY20'!A95:Q492,15,FALSE)</f>
        <v>-1502.7688020214237</v>
      </c>
      <c r="H95" s="313">
        <v>716</v>
      </c>
      <c r="I95" s="310">
        <f t="shared" si="10"/>
        <v>6.239064210078703E-4</v>
      </c>
      <c r="J95" s="311">
        <f t="shared" si="11"/>
        <v>4327.7900300234924</v>
      </c>
      <c r="K95" s="312">
        <f>VLOOKUP(B95,'[1]Step 4 Final Title II FY20'!A95:Q492,16,FALSE)</f>
        <v>74.059437790833726</v>
      </c>
      <c r="L95" s="314">
        <f t="shared" si="12"/>
        <v>11716.075594035388</v>
      </c>
    </row>
    <row r="96" spans="1:12" ht="15.6" customHeight="1" x14ac:dyDescent="0.3">
      <c r="A96" s="286" t="str">
        <f t="shared" si="7"/>
        <v>3180 North Harrison Com School Corp</v>
      </c>
      <c r="B96" s="307" t="s">
        <v>2194</v>
      </c>
      <c r="C96" s="308" t="s">
        <v>248</v>
      </c>
      <c r="D96" s="309">
        <v>255</v>
      </c>
      <c r="E96" s="310">
        <f t="shared" si="8"/>
        <v>1.5582987044732339E-3</v>
      </c>
      <c r="F96" s="311">
        <f t="shared" si="9"/>
        <v>43237.186667342947</v>
      </c>
      <c r="G96" s="312">
        <f>VLOOKUP(B96,'[1]Step 4 Final Title II FY20'!A96:Q493,15,FALSE)</f>
        <v>2186.2624775249351</v>
      </c>
      <c r="H96" s="313">
        <v>2409</v>
      </c>
      <c r="I96" s="310">
        <f t="shared" si="10"/>
        <v>2.0991488382792732E-3</v>
      </c>
      <c r="J96" s="311">
        <f t="shared" si="11"/>
        <v>14560.958355204741</v>
      </c>
      <c r="K96" s="312">
        <f>VLOOKUP(B96,'[1]Step 4 Final Title II FY20'!A96:Q493,16,FALSE)</f>
        <v>245.07448049477352</v>
      </c>
      <c r="L96" s="314">
        <f t="shared" si="12"/>
        <v>60229.481980567398</v>
      </c>
    </row>
    <row r="97" spans="1:12" ht="15.6" customHeight="1" x14ac:dyDescent="0.3">
      <c r="A97" s="286" t="str">
        <f t="shared" si="7"/>
        <v>3190 South Harrison Com Schools</v>
      </c>
      <c r="B97" s="307" t="s">
        <v>2195</v>
      </c>
      <c r="C97" s="308" t="s">
        <v>249</v>
      </c>
      <c r="D97" s="309">
        <v>426</v>
      </c>
      <c r="E97" s="310">
        <f t="shared" si="8"/>
        <v>2.6032754827670498E-3</v>
      </c>
      <c r="F97" s="311">
        <f t="shared" si="9"/>
        <v>72231.535373678809</v>
      </c>
      <c r="G97" s="312">
        <f>VLOOKUP(B97,'[1]Step 4 Final Title II FY20'!A97:Q494,15,FALSE)</f>
        <v>2069.8116769702465</v>
      </c>
      <c r="H97" s="313">
        <v>3411</v>
      </c>
      <c r="I97" s="310">
        <f t="shared" si="10"/>
        <v>2.9722692766171025E-3</v>
      </c>
      <c r="J97" s="311">
        <f t="shared" si="11"/>
        <v>20617.446637444318</v>
      </c>
      <c r="K97" s="312">
        <f>VLOOKUP(B97,'[1]Step 4 Final Title II FY20'!A97:Q494,16,FALSE)</f>
        <v>209.90927637651839</v>
      </c>
      <c r="L97" s="314">
        <f t="shared" si="12"/>
        <v>95128.702964469892</v>
      </c>
    </row>
    <row r="98" spans="1:12" ht="15.6" customHeight="1" x14ac:dyDescent="0.3">
      <c r="A98" s="286" t="str">
        <f t="shared" si="7"/>
        <v>3295 North West Hendricks Schools</v>
      </c>
      <c r="B98" s="307" t="s">
        <v>2196</v>
      </c>
      <c r="C98" s="308" t="s">
        <v>250</v>
      </c>
      <c r="D98" s="309">
        <v>80</v>
      </c>
      <c r="E98" s="310">
        <f t="shared" si="8"/>
        <v>4.8887802493277925E-4</v>
      </c>
      <c r="F98" s="311">
        <f t="shared" si="9"/>
        <v>13564.607581911512</v>
      </c>
      <c r="G98" s="312">
        <f>VLOOKUP(B98,'[1]Step 4 Final Title II FY20'!A98:Q495,15,FALSE)</f>
        <v>2412.4716709315817</v>
      </c>
      <c r="H98" s="313">
        <v>2229</v>
      </c>
      <c r="I98" s="310">
        <f t="shared" si="10"/>
        <v>1.9423008553443337E-3</v>
      </c>
      <c r="J98" s="311">
        <f t="shared" si="11"/>
        <v>13472.966448215593</v>
      </c>
      <c r="K98" s="312">
        <f>VLOOKUP(B98,'[1]Step 4 Final Title II FY20'!A98:Q495,16,FALSE)</f>
        <v>123.71774842876584</v>
      </c>
      <c r="L98" s="314">
        <f t="shared" si="12"/>
        <v>29573.763449487451</v>
      </c>
    </row>
    <row r="99" spans="1:12" ht="15.6" customHeight="1" x14ac:dyDescent="0.3">
      <c r="A99" s="286" t="str">
        <f t="shared" si="7"/>
        <v>3305 Brownsburg Community School Corp</v>
      </c>
      <c r="B99" s="307" t="s">
        <v>2197</v>
      </c>
      <c r="C99" s="308" t="s">
        <v>2198</v>
      </c>
      <c r="D99" s="309">
        <v>356</v>
      </c>
      <c r="E99" s="310">
        <f t="shared" si="8"/>
        <v>2.1755072109508676E-3</v>
      </c>
      <c r="F99" s="311">
        <f t="shared" si="9"/>
        <v>60362.503739506232</v>
      </c>
      <c r="G99" s="312">
        <f>VLOOKUP(B99,'[1]Step 4 Final Title II FY20'!A99:Q496,15,FALSE)</f>
        <v>10657.069615988352</v>
      </c>
      <c r="H99" s="313">
        <v>9284</v>
      </c>
      <c r="I99" s="310">
        <f t="shared" si="10"/>
        <v>8.0898704087109877E-3</v>
      </c>
      <c r="J99" s="311">
        <f t="shared" si="11"/>
        <v>56116.204802706845</v>
      </c>
      <c r="K99" s="312">
        <f>VLOOKUP(B99,'[1]Step 4 Final Title II FY20'!A99:Q496,16,FALSE)</f>
        <v>347.38121334289463</v>
      </c>
      <c r="L99" s="314">
        <f t="shared" si="12"/>
        <v>127483.15937154432</v>
      </c>
    </row>
    <row r="100" spans="1:12" ht="15.6" customHeight="1" x14ac:dyDescent="0.3">
      <c r="A100" s="286" t="str">
        <f t="shared" si="7"/>
        <v>3315 Avon Community School Corp</v>
      </c>
      <c r="B100" s="307" t="s">
        <v>2199</v>
      </c>
      <c r="C100" s="308" t="s">
        <v>2200</v>
      </c>
      <c r="D100" s="309">
        <v>485</v>
      </c>
      <c r="E100" s="310">
        <f t="shared" si="8"/>
        <v>2.9638230261549744E-3</v>
      </c>
      <c r="F100" s="311">
        <f t="shared" si="9"/>
        <v>82235.433465338559</v>
      </c>
      <c r="G100" s="312">
        <f>VLOOKUP(B100,'[1]Step 4 Final Title II FY20'!A100:Q497,15,FALSE)</f>
        <v>14440.787997987951</v>
      </c>
      <c r="H100" s="313">
        <v>10275</v>
      </c>
      <c r="I100" s="310">
        <f t="shared" si="10"/>
        <v>8.9534056925361268E-3</v>
      </c>
      <c r="J100" s="311">
        <f t="shared" si="11"/>
        <v>62106.204690630424</v>
      </c>
      <c r="K100" s="312">
        <f>VLOOKUP(B100,'[1]Step 4 Final Title II FY20'!A100:Q497,16,FALSE)</f>
        <v>318.35298769720248</v>
      </c>
      <c r="L100" s="314">
        <f t="shared" si="12"/>
        <v>159100.77914165414</v>
      </c>
    </row>
    <row r="101" spans="1:12" ht="15.6" customHeight="1" x14ac:dyDescent="0.3">
      <c r="A101" s="286" t="str">
        <f t="shared" si="7"/>
        <v>3325 Danville Community School Corp</v>
      </c>
      <c r="B101" s="307" t="s">
        <v>2201</v>
      </c>
      <c r="C101" s="308" t="s">
        <v>251</v>
      </c>
      <c r="D101" s="309">
        <v>151</v>
      </c>
      <c r="E101" s="310">
        <f t="shared" si="8"/>
        <v>9.2275727206062085E-4</v>
      </c>
      <c r="F101" s="311">
        <f t="shared" si="9"/>
        <v>25603.196810857982</v>
      </c>
      <c r="G101" s="312">
        <f>VLOOKUP(B101,'[1]Step 4 Final Title II FY20'!A101:Q498,15,FALSE)</f>
        <v>4156.7142864542475</v>
      </c>
      <c r="H101" s="313">
        <v>2986</v>
      </c>
      <c r="I101" s="310">
        <f t="shared" si="10"/>
        <v>2.6019337613540513E-3</v>
      </c>
      <c r="J101" s="311">
        <f t="shared" si="11"/>
        <v>18048.576857053282</v>
      </c>
      <c r="K101" s="312">
        <f>VLOOKUP(B101,'[1]Step 4 Final Title II FY20'!A101:Q498,16,FALSE)</f>
        <v>132.03319037614347</v>
      </c>
      <c r="L101" s="314">
        <f t="shared" si="12"/>
        <v>47940.521144741651</v>
      </c>
    </row>
    <row r="102" spans="1:12" ht="15.6" customHeight="1" x14ac:dyDescent="0.3">
      <c r="A102" s="286" t="str">
        <f t="shared" si="7"/>
        <v>3330 Plainfield Community School Corp</v>
      </c>
      <c r="B102" s="307" t="s">
        <v>2202</v>
      </c>
      <c r="C102" s="308" t="s">
        <v>2203</v>
      </c>
      <c r="D102" s="309">
        <v>300</v>
      </c>
      <c r="E102" s="310">
        <f t="shared" si="8"/>
        <v>1.8332925934979223E-3</v>
      </c>
      <c r="F102" s="311">
        <f t="shared" si="9"/>
        <v>50867.278432168176</v>
      </c>
      <c r="G102" s="312">
        <f>VLOOKUP(B102,'[1]Step 4 Final Title II FY20'!A102:Q499,15,FALSE)</f>
        <v>9699.0000017265847</v>
      </c>
      <c r="H102" s="313">
        <v>5187</v>
      </c>
      <c r="I102" s="310">
        <f t="shared" si="10"/>
        <v>4.5198360415751723E-3</v>
      </c>
      <c r="J102" s="311">
        <f t="shared" si="11"/>
        <v>31352.300119737229</v>
      </c>
      <c r="K102" s="312">
        <f>VLOOKUP(B102,'[1]Step 4 Final Title II FY20'!A102:Q499,16,FALSE)</f>
        <v>229.34898111596704</v>
      </c>
      <c r="L102" s="314">
        <f t="shared" si="12"/>
        <v>92147.927534747956</v>
      </c>
    </row>
    <row r="103" spans="1:12" ht="15.6" customHeight="1" x14ac:dyDescent="0.3">
      <c r="A103" s="286" t="str">
        <f t="shared" si="7"/>
        <v>3335 Mill Creek Community Sch Corp</v>
      </c>
      <c r="B103" s="307" t="s">
        <v>2204</v>
      </c>
      <c r="C103" s="308" t="s">
        <v>252</v>
      </c>
      <c r="D103" s="309">
        <v>150</v>
      </c>
      <c r="E103" s="310">
        <f t="shared" si="8"/>
        <v>9.1664629674896114E-4</v>
      </c>
      <c r="F103" s="311">
        <f t="shared" si="9"/>
        <v>25433.639216084088</v>
      </c>
      <c r="G103" s="312">
        <f>VLOOKUP(B103,'[1]Step 4 Final Title II FY20'!A103:Q500,15,FALSE)</f>
        <v>6815.3057903398403</v>
      </c>
      <c r="H103" s="313">
        <v>1967</v>
      </c>
      <c r="I103" s="310">
        <f t="shared" si="10"/>
        <v>1.7139999024056995E-3</v>
      </c>
      <c r="J103" s="311">
        <f t="shared" si="11"/>
        <v>11889.333783598058</v>
      </c>
      <c r="K103" s="312">
        <f>VLOOKUP(B103,'[1]Step 4 Final Title II FY20'!A103:Q500,16,FALSE)</f>
        <v>193.6336583593511</v>
      </c>
      <c r="L103" s="314">
        <f t="shared" si="12"/>
        <v>44331.912448381336</v>
      </c>
    </row>
    <row r="104" spans="1:12" ht="15.6" customHeight="1" x14ac:dyDescent="0.3">
      <c r="A104" s="286" t="str">
        <f t="shared" si="7"/>
        <v>3405 Blue River Valley Schools</v>
      </c>
      <c r="B104" s="307" t="s">
        <v>2205</v>
      </c>
      <c r="C104" s="308" t="s">
        <v>253</v>
      </c>
      <c r="D104" s="309">
        <v>117</v>
      </c>
      <c r="E104" s="310">
        <f t="shared" si="8"/>
        <v>7.1498411146418965E-4</v>
      </c>
      <c r="F104" s="311">
        <f t="shared" si="9"/>
        <v>19838.238588545588</v>
      </c>
      <c r="G104" s="312">
        <f>VLOOKUP(B104,'[1]Step 4 Final Title II FY20'!A104:Q501,15,FALSE)</f>
        <v>-418.56968890762801</v>
      </c>
      <c r="H104" s="313">
        <v>705</v>
      </c>
      <c r="I104" s="310">
        <f t="shared" si="10"/>
        <v>6.1432126649517958E-4</v>
      </c>
      <c r="J104" s="311">
        <f t="shared" si="11"/>
        <v>4261.3016357074894</v>
      </c>
      <c r="K104" s="312">
        <f>VLOOKUP(B104,'[1]Step 4 Final Title II FY20'!A104:Q501,16,FALSE)</f>
        <v>-18.597210440583694</v>
      </c>
      <c r="L104" s="314">
        <f t="shared" si="12"/>
        <v>23662.373324904864</v>
      </c>
    </row>
    <row r="105" spans="1:12" ht="15.6" customHeight="1" x14ac:dyDescent="0.3">
      <c r="A105" s="286" t="str">
        <f t="shared" si="7"/>
        <v>3415 South Henry School Corp</v>
      </c>
      <c r="B105" s="307" t="s">
        <v>2206</v>
      </c>
      <c r="C105" s="308" t="s">
        <v>254</v>
      </c>
      <c r="D105" s="309">
        <v>63</v>
      </c>
      <c r="E105" s="310">
        <f t="shared" si="8"/>
        <v>3.8499144463456365E-4</v>
      </c>
      <c r="F105" s="311">
        <f t="shared" si="9"/>
        <v>10682.128470755317</v>
      </c>
      <c r="G105" s="312">
        <f>VLOOKUP(B105,'[1]Step 4 Final Title II FY20'!A105:Q502,15,FALSE)</f>
        <v>6.8857373986647872</v>
      </c>
      <c r="H105" s="313">
        <v>688</v>
      </c>
      <c r="I105" s="310">
        <f t="shared" si="10"/>
        <v>5.9950784588465745E-4</v>
      </c>
      <c r="J105" s="311">
        <f t="shared" si="11"/>
        <v>4158.546844491847</v>
      </c>
      <c r="K105" s="312">
        <f>VLOOKUP(B105,'[1]Step 4 Final Title II FY20'!A105:Q502,16,FALSE)</f>
        <v>-25.322598022905368</v>
      </c>
      <c r="L105" s="314">
        <f t="shared" si="12"/>
        <v>14822.238454622924</v>
      </c>
    </row>
    <row r="106" spans="1:12" ht="15.6" customHeight="1" x14ac:dyDescent="0.3">
      <c r="A106" s="286" t="str">
        <f t="shared" si="7"/>
        <v>3435 Shenandoah School Corporation</v>
      </c>
      <c r="B106" s="307" t="s">
        <v>2207</v>
      </c>
      <c r="C106" s="308" t="s">
        <v>255</v>
      </c>
      <c r="D106" s="309">
        <v>147</v>
      </c>
      <c r="E106" s="310">
        <f t="shared" si="8"/>
        <v>8.9831337081398193E-4</v>
      </c>
      <c r="F106" s="311">
        <f t="shared" si="9"/>
        <v>24924.966431762405</v>
      </c>
      <c r="G106" s="312">
        <f>VLOOKUP(B106,'[1]Step 4 Final Title II FY20'!A106:Q503,15,FALSE)</f>
        <v>-735.56653796336468</v>
      </c>
      <c r="H106" s="313">
        <v>1235</v>
      </c>
      <c r="I106" s="310">
        <f t="shared" si="10"/>
        <v>1.076151438470279E-3</v>
      </c>
      <c r="J106" s="311">
        <f t="shared" si="11"/>
        <v>7464.8333618421966</v>
      </c>
      <c r="K106" s="312">
        <f>VLOOKUP(B106,'[1]Step 4 Final Title II FY20'!A106:Q503,16,FALSE)</f>
        <v>-78.856789298719377</v>
      </c>
      <c r="L106" s="314">
        <f t="shared" si="12"/>
        <v>31575.376466342517</v>
      </c>
    </row>
    <row r="107" spans="1:12" ht="15.6" customHeight="1" x14ac:dyDescent="0.3">
      <c r="A107" s="286" t="str">
        <f t="shared" si="7"/>
        <v>3445 New Castle Community School Corp</v>
      </c>
      <c r="B107" s="307" t="s">
        <v>2208</v>
      </c>
      <c r="C107" s="308" t="s">
        <v>2209</v>
      </c>
      <c r="D107" s="309">
        <v>608</v>
      </c>
      <c r="E107" s="310">
        <f t="shared" si="8"/>
        <v>3.7154729894891226E-3</v>
      </c>
      <c r="F107" s="311">
        <f t="shared" si="9"/>
        <v>103091.01762252751</v>
      </c>
      <c r="G107" s="312">
        <f>VLOOKUP(B107,'[1]Step 4 Final Title II FY20'!A107:Q504,15,FALSE)</f>
        <v>-8460.5484510784154</v>
      </c>
      <c r="H107" s="313">
        <v>3496</v>
      </c>
      <c r="I107" s="310">
        <f t="shared" si="10"/>
        <v>3.046336379669713E-3</v>
      </c>
      <c r="J107" s="311">
        <f t="shared" si="11"/>
        <v>21131.220593522528</v>
      </c>
      <c r="K107" s="312">
        <f>VLOOKUP(B107,'[1]Step 4 Final Title II FY20'!A107:Q504,16,FALSE)</f>
        <v>-106.48123560226304</v>
      </c>
      <c r="L107" s="314">
        <f t="shared" si="12"/>
        <v>115655.20852936935</v>
      </c>
    </row>
    <row r="108" spans="1:12" ht="15.6" customHeight="1" x14ac:dyDescent="0.3">
      <c r="A108" s="286" t="str">
        <f t="shared" si="7"/>
        <v>3455 C A Beard Memorial School Corp</v>
      </c>
      <c r="B108" s="307" t="s">
        <v>2210</v>
      </c>
      <c r="C108" s="308" t="s">
        <v>256</v>
      </c>
      <c r="D108" s="309">
        <v>166</v>
      </c>
      <c r="E108" s="310">
        <f t="shared" si="8"/>
        <v>1.0144219017355169E-3</v>
      </c>
      <c r="F108" s="311">
        <f t="shared" si="9"/>
        <v>28146.560732466387</v>
      </c>
      <c r="G108" s="312">
        <f>VLOOKUP(B108,'[1]Step 4 Final Title II FY20'!A108:Q505,15,FALSE)</f>
        <v>-1389.4708756222099</v>
      </c>
      <c r="H108" s="313">
        <v>1257</v>
      </c>
      <c r="I108" s="310">
        <f t="shared" si="10"/>
        <v>1.0953217474956604E-3</v>
      </c>
      <c r="J108" s="311">
        <f t="shared" si="11"/>
        <v>7597.8101504742035</v>
      </c>
      <c r="K108" s="312">
        <f>VLOOKUP(B108,'[1]Step 4 Final Title II FY20'!A108:Q505,16,FALSE)</f>
        <v>-32.256464745480116</v>
      </c>
      <c r="L108" s="314">
        <f t="shared" si="12"/>
        <v>34322.6435425729</v>
      </c>
    </row>
    <row r="109" spans="1:12" ht="15.6" customHeight="1" x14ac:dyDescent="0.3">
      <c r="A109" s="286" t="str">
        <f t="shared" si="7"/>
        <v>3460 Taylor Community School Corp</v>
      </c>
      <c r="B109" s="307" t="s">
        <v>2211</v>
      </c>
      <c r="C109" s="308" t="s">
        <v>257</v>
      </c>
      <c r="D109" s="309">
        <v>226</v>
      </c>
      <c r="E109" s="310">
        <f t="shared" si="8"/>
        <v>1.3810804204351015E-3</v>
      </c>
      <c r="F109" s="311">
        <f t="shared" si="9"/>
        <v>38320.016418900028</v>
      </c>
      <c r="G109" s="312">
        <f>VLOOKUP(B109,'[1]Step 4 Final Title II FY20'!A109:Q506,15,FALSE)</f>
        <v>-8625.945986072431</v>
      </c>
      <c r="H109" s="313">
        <v>1460</v>
      </c>
      <c r="I109" s="310">
        <f t="shared" si="10"/>
        <v>1.2722114171389535E-3</v>
      </c>
      <c r="J109" s="311">
        <f t="shared" si="11"/>
        <v>8824.823245578631</v>
      </c>
      <c r="K109" s="312">
        <f>VLOOKUP(B109,'[1]Step 4 Final Title II FY20'!A109:Q506,16,FALSE)</f>
        <v>155.0107940441103</v>
      </c>
      <c r="L109" s="314">
        <f t="shared" si="12"/>
        <v>38673.904472450333</v>
      </c>
    </row>
    <row r="110" spans="1:12" ht="15.6" customHeight="1" x14ac:dyDescent="0.3">
      <c r="A110" s="286" t="str">
        <f t="shared" si="7"/>
        <v>3470 Northwestern School Corp</v>
      </c>
      <c r="B110" s="307" t="s">
        <v>2212</v>
      </c>
      <c r="C110" s="308" t="s">
        <v>258</v>
      </c>
      <c r="D110" s="309">
        <v>152</v>
      </c>
      <c r="E110" s="310">
        <f t="shared" si="8"/>
        <v>9.2886824737228066E-4</v>
      </c>
      <c r="F110" s="311">
        <f t="shared" si="9"/>
        <v>25772.754405631877</v>
      </c>
      <c r="G110" s="312">
        <f>VLOOKUP(B110,'[1]Step 4 Final Title II FY20'!A110:Q507,15,FALSE)</f>
        <v>-5045.5666134725034</v>
      </c>
      <c r="H110" s="313">
        <v>1564</v>
      </c>
      <c r="I110" s="310">
        <f t="shared" si="10"/>
        <v>1.3628346961680295E-3</v>
      </c>
      <c r="J110" s="311">
        <f t="shared" si="11"/>
        <v>9453.4407918390261</v>
      </c>
      <c r="K110" s="312">
        <f>VLOOKUP(B110,'[1]Step 4 Final Title II FY20'!A110:Q507,16,FALSE)</f>
        <v>136.43332774630471</v>
      </c>
      <c r="L110" s="314">
        <f t="shared" si="12"/>
        <v>30317.061911744702</v>
      </c>
    </row>
    <row r="111" spans="1:12" ht="15.6" customHeight="1" x14ac:dyDescent="0.3">
      <c r="A111" s="286" t="str">
        <f t="shared" si="7"/>
        <v>3480 Eastern Howard School Corporation</v>
      </c>
      <c r="B111" s="307" t="s">
        <v>2213</v>
      </c>
      <c r="C111" s="308" t="s">
        <v>2214</v>
      </c>
      <c r="D111" s="309">
        <v>77</v>
      </c>
      <c r="E111" s="310">
        <f t="shared" si="8"/>
        <v>4.7054509899780003E-4</v>
      </c>
      <c r="F111" s="311">
        <f t="shared" si="9"/>
        <v>13055.934797589831</v>
      </c>
      <c r="G111" s="312">
        <f>VLOOKUP(B111,'[1]Step 4 Final Title II FY20'!A111:Q508,15,FALSE)</f>
        <v>-5056.5451273711988</v>
      </c>
      <c r="H111" s="313">
        <v>1196</v>
      </c>
      <c r="I111" s="310">
        <f t="shared" si="10"/>
        <v>1.0421677088343754E-3</v>
      </c>
      <c r="J111" s="311">
        <f t="shared" si="11"/>
        <v>7229.1017819945482</v>
      </c>
      <c r="K111" s="312">
        <f>VLOOKUP(B111,'[1]Step 4 Final Title II FY20'!A111:Q508,16,FALSE)</f>
        <v>59.567529085333263</v>
      </c>
      <c r="L111" s="314">
        <f t="shared" si="12"/>
        <v>15288.058981298513</v>
      </c>
    </row>
    <row r="112" spans="1:12" ht="15.6" customHeight="1" x14ac:dyDescent="0.3">
      <c r="A112" s="286" t="str">
        <f t="shared" si="7"/>
        <v>3490 Western School Corporation</v>
      </c>
      <c r="B112" s="307" t="s">
        <v>2215</v>
      </c>
      <c r="C112" s="308" t="s">
        <v>2216</v>
      </c>
      <c r="D112" s="309">
        <v>218</v>
      </c>
      <c r="E112" s="310">
        <f t="shared" si="8"/>
        <v>1.3321926179418234E-3</v>
      </c>
      <c r="F112" s="311">
        <f t="shared" si="9"/>
        <v>36963.555660708873</v>
      </c>
      <c r="G112" s="312">
        <f>VLOOKUP(B112,'[1]Step 4 Final Title II FY20'!A112:Q509,15,FALSE)</f>
        <v>-2466.0376786887064</v>
      </c>
      <c r="H112" s="313">
        <v>2513</v>
      </c>
      <c r="I112" s="310">
        <f t="shared" si="10"/>
        <v>2.1897721173083492E-3</v>
      </c>
      <c r="J112" s="311">
        <f t="shared" si="11"/>
        <v>15189.575901465136</v>
      </c>
      <c r="K112" s="312">
        <f>VLOOKUP(B112,'[1]Step 4 Final Title II FY20'!A112:Q509,16,FALSE)</f>
        <v>232.9115441364047</v>
      </c>
      <c r="L112" s="314">
        <f t="shared" si="12"/>
        <v>49920.005427621705</v>
      </c>
    </row>
    <row r="113" spans="1:12" ht="15.6" customHeight="1" x14ac:dyDescent="0.3">
      <c r="A113" s="286" t="str">
        <f t="shared" si="7"/>
        <v>3500 Kokomo School Corporation</v>
      </c>
      <c r="B113" s="307" t="s">
        <v>2217</v>
      </c>
      <c r="C113" s="308" t="s">
        <v>259</v>
      </c>
      <c r="D113" s="309">
        <v>1534</v>
      </c>
      <c r="E113" s="310">
        <f t="shared" si="8"/>
        <v>9.3742361280860428E-3</v>
      </c>
      <c r="F113" s="311">
        <f t="shared" si="9"/>
        <v>260101.35038315327</v>
      </c>
      <c r="G113" s="312">
        <f>VLOOKUP(B113,'[1]Step 4 Final Title II FY20'!A113:Q510,15,FALSE)</f>
        <v>-22953.189235695405</v>
      </c>
      <c r="H113" s="313">
        <v>6848</v>
      </c>
      <c r="I113" s="310">
        <f t="shared" si="10"/>
        <v>5.9671943729914748E-3</v>
      </c>
      <c r="J113" s="311">
        <f t="shared" si="11"/>
        <v>41392.04766145374</v>
      </c>
      <c r="K113" s="312">
        <f>VLOOKUP(B113,'[1]Step 4 Final Title II FY20'!A113:Q510,16,FALSE)</f>
        <v>280.51717173367797</v>
      </c>
      <c r="L113" s="314">
        <f t="shared" si="12"/>
        <v>278820.72598064528</v>
      </c>
    </row>
    <row r="114" spans="1:12" ht="15.6" customHeight="1" x14ac:dyDescent="0.3">
      <c r="A114" s="286" t="str">
        <f t="shared" si="7"/>
        <v>3625 Huntington Co Com Sch Corp</v>
      </c>
      <c r="B114" s="307" t="s">
        <v>2218</v>
      </c>
      <c r="C114" s="308" t="s">
        <v>260</v>
      </c>
      <c r="D114" s="309">
        <v>684</v>
      </c>
      <c r="E114" s="310">
        <f t="shared" si="8"/>
        <v>4.1799071131752626E-3</v>
      </c>
      <c r="F114" s="311">
        <f t="shared" si="9"/>
        <v>115977.39482534344</v>
      </c>
      <c r="G114" s="312">
        <f>VLOOKUP(B114,'[1]Step 4 Final Title II FY20'!A114:Q511,15,FALSE)</f>
        <v>-6249.9226442492654</v>
      </c>
      <c r="H114" s="313">
        <v>5778</v>
      </c>
      <c r="I114" s="310">
        <f t="shared" si="10"/>
        <v>5.0348202522115569E-3</v>
      </c>
      <c r="J114" s="311">
        <f t="shared" si="11"/>
        <v>34924.540214351597</v>
      </c>
      <c r="K114" s="312">
        <f>VLOOKUP(B114,'[1]Step 4 Final Title II FY20'!A114:Q511,16,FALSE)</f>
        <v>-326.93261211686331</v>
      </c>
      <c r="L114" s="314">
        <f t="shared" si="12"/>
        <v>144325.07978332893</v>
      </c>
    </row>
    <row r="115" spans="1:12" ht="15.6" customHeight="1" x14ac:dyDescent="0.3">
      <c r="A115" s="286" t="str">
        <f t="shared" si="7"/>
        <v>3640 Medora Community School Corp</v>
      </c>
      <c r="B115" s="307" t="s">
        <v>2219</v>
      </c>
      <c r="C115" s="308" t="s">
        <v>261</v>
      </c>
      <c r="D115" s="309">
        <v>52</v>
      </c>
      <c r="E115" s="310">
        <f t="shared" si="8"/>
        <v>3.1777071620630654E-4</v>
      </c>
      <c r="F115" s="311">
        <f t="shared" si="9"/>
        <v>8816.9949282424841</v>
      </c>
      <c r="G115" s="312">
        <f>VLOOKUP(B115,'[1]Step 4 Final Title II FY20'!A115:Q512,15,FALSE)</f>
        <v>1591.5100694205103</v>
      </c>
      <c r="H115" s="313">
        <v>297</v>
      </c>
      <c r="I115" s="310">
        <f t="shared" si="10"/>
        <v>2.5879917184265012E-4</v>
      </c>
      <c r="J115" s="311">
        <f t="shared" si="11"/>
        <v>1795.1866465320913</v>
      </c>
      <c r="K115" s="312">
        <f>VLOOKUP(B115,'[1]Step 4 Final Title II FY20'!A115:Q512,16,FALSE)</f>
        <v>-16.545789560326739</v>
      </c>
      <c r="L115" s="314">
        <f t="shared" si="12"/>
        <v>12187.145854634759</v>
      </c>
    </row>
    <row r="116" spans="1:12" ht="15.6" customHeight="1" x14ac:dyDescent="0.3">
      <c r="A116" s="286" t="str">
        <f t="shared" si="7"/>
        <v>3675 Seymour Community Schools</v>
      </c>
      <c r="B116" s="307" t="s">
        <v>2220</v>
      </c>
      <c r="C116" s="308" t="s">
        <v>262</v>
      </c>
      <c r="D116" s="309">
        <v>599</v>
      </c>
      <c r="E116" s="310">
        <f t="shared" si="8"/>
        <v>3.6604742116841849E-3</v>
      </c>
      <c r="F116" s="311">
        <f t="shared" si="9"/>
        <v>101564.99926956245</v>
      </c>
      <c r="G116" s="312">
        <f>VLOOKUP(B116,'[1]Step 4 Final Title II FY20'!A116:Q513,15,FALSE)</f>
        <v>16157.127750659114</v>
      </c>
      <c r="H116" s="313">
        <v>4982</v>
      </c>
      <c r="I116" s="310">
        <f t="shared" si="10"/>
        <v>4.3412036165659355E-3</v>
      </c>
      <c r="J116" s="311">
        <f t="shared" si="11"/>
        <v>30113.198225666256</v>
      </c>
      <c r="K116" s="312">
        <f>VLOOKUP(B116,'[1]Step 4 Final Title II FY20'!A116:Q513,16,FALSE)</f>
        <v>-83.791087645666266</v>
      </c>
      <c r="L116" s="314">
        <f t="shared" si="12"/>
        <v>147751.53415824217</v>
      </c>
    </row>
    <row r="117" spans="1:12" ht="15.6" customHeight="1" x14ac:dyDescent="0.3">
      <c r="A117" s="286" t="str">
        <f t="shared" si="7"/>
        <v>3695 Brownstown Cnt Com Sch Corp</v>
      </c>
      <c r="B117" s="307" t="s">
        <v>2221</v>
      </c>
      <c r="C117" s="308" t="s">
        <v>263</v>
      </c>
      <c r="D117" s="309">
        <v>189</v>
      </c>
      <c r="E117" s="310">
        <f t="shared" si="8"/>
        <v>1.154974333903691E-3</v>
      </c>
      <c r="F117" s="311">
        <f t="shared" si="9"/>
        <v>32046.385412265947</v>
      </c>
      <c r="G117" s="312">
        <f>VLOOKUP(B117,'[1]Step 4 Final Title II FY20'!A117:Q514,15,FALSE)</f>
        <v>3823.3463313984248</v>
      </c>
      <c r="H117" s="313">
        <v>1911</v>
      </c>
      <c r="I117" s="310">
        <f t="shared" si="10"/>
        <v>1.6652027521592738E-3</v>
      </c>
      <c r="J117" s="311">
        <f t="shared" si="11"/>
        <v>11550.847412534767</v>
      </c>
      <c r="K117" s="312">
        <f>VLOOKUP(B117,'[1]Step 4 Final Title II FY20'!A117:Q514,16,FALSE)</f>
        <v>-11.811392615749355</v>
      </c>
      <c r="L117" s="314">
        <f t="shared" si="12"/>
        <v>47408.767763583382</v>
      </c>
    </row>
    <row r="118" spans="1:12" ht="15.6" customHeight="1" x14ac:dyDescent="0.3">
      <c r="A118" s="286" t="str">
        <f t="shared" si="7"/>
        <v>3710 Crothersville Community Schools</v>
      </c>
      <c r="B118" s="307" t="s">
        <v>2222</v>
      </c>
      <c r="C118" s="308" t="s">
        <v>264</v>
      </c>
      <c r="D118" s="309">
        <v>82</v>
      </c>
      <c r="E118" s="310">
        <f t="shared" si="8"/>
        <v>5.0109997555609876E-4</v>
      </c>
      <c r="F118" s="311">
        <f t="shared" si="9"/>
        <v>13903.722771459301</v>
      </c>
      <c r="G118" s="312">
        <f>VLOOKUP(B118,'[1]Step 4 Final Title II FY20'!A118:Q515,15,FALSE)</f>
        <v>1917.439044124927</v>
      </c>
      <c r="H118" s="313">
        <v>578</v>
      </c>
      <c r="I118" s="310">
        <f t="shared" si="10"/>
        <v>5.0365630075774998E-4</v>
      </c>
      <c r="J118" s="311">
        <f t="shared" si="11"/>
        <v>3493.6629013318134</v>
      </c>
      <c r="K118" s="312">
        <f>VLOOKUP(B118,'[1]Step 4 Final Title II FY20'!A118:Q515,16,FALSE)</f>
        <v>13.031356909572878</v>
      </c>
      <c r="L118" s="314">
        <f t="shared" si="12"/>
        <v>19327.856073825616</v>
      </c>
    </row>
    <row r="119" spans="1:12" ht="15.6" customHeight="1" x14ac:dyDescent="0.3">
      <c r="A119" s="286" t="str">
        <f t="shared" si="7"/>
        <v>3785 Kankakee Valley School Corp</v>
      </c>
      <c r="B119" s="307" t="s">
        <v>2223</v>
      </c>
      <c r="C119" s="308" t="s">
        <v>265</v>
      </c>
      <c r="D119" s="309">
        <v>335</v>
      </c>
      <c r="E119" s="310">
        <f t="shared" si="8"/>
        <v>2.0471767294060134E-3</v>
      </c>
      <c r="F119" s="311">
        <f t="shared" si="9"/>
        <v>56801.794249254468</v>
      </c>
      <c r="G119" s="312">
        <f>VLOOKUP(B119,'[1]Step 4 Final Title II FY20'!A119:Q516,15,FALSE)</f>
        <v>-8457.3955769229287</v>
      </c>
      <c r="H119" s="313">
        <v>3589</v>
      </c>
      <c r="I119" s="310">
        <f t="shared" si="10"/>
        <v>3.1273745041860983E-3</v>
      </c>
      <c r="J119" s="311">
        <f t="shared" si="11"/>
        <v>21693.34974546692</v>
      </c>
      <c r="K119" s="312">
        <f>VLOOKUP(B119,'[1]Step 4 Final Title II FY20'!A119:Q516,16,FALSE)</f>
        <v>-495.58537629766215</v>
      </c>
      <c r="L119" s="314">
        <f t="shared" si="12"/>
        <v>69542.163041500797</v>
      </c>
    </row>
    <row r="120" spans="1:12" ht="15.6" customHeight="1" x14ac:dyDescent="0.3">
      <c r="A120" s="286" t="str">
        <f t="shared" si="7"/>
        <v>3815 Rensselaer Central School Corp</v>
      </c>
      <c r="B120" s="307" t="s">
        <v>2224</v>
      </c>
      <c r="C120" s="308" t="s">
        <v>266</v>
      </c>
      <c r="D120" s="309">
        <v>191</v>
      </c>
      <c r="E120" s="310">
        <f t="shared" si="8"/>
        <v>1.1671962845270106E-3</v>
      </c>
      <c r="F120" s="311">
        <f t="shared" si="9"/>
        <v>32385.500601813739</v>
      </c>
      <c r="G120" s="312">
        <f>VLOOKUP(B120,'[1]Step 4 Final Title II FY20'!A120:Q517,15,FALSE)</f>
        <v>-8285.6922936179471</v>
      </c>
      <c r="H120" s="313">
        <v>1731</v>
      </c>
      <c r="I120" s="310">
        <f t="shared" si="10"/>
        <v>1.5083547692243343E-3</v>
      </c>
      <c r="J120" s="311">
        <f t="shared" si="11"/>
        <v>10462.855505545622</v>
      </c>
      <c r="K120" s="312">
        <f>VLOOKUP(B120,'[1]Step 4 Final Title II FY20'!A120:Q517,16,FALSE)</f>
        <v>-304.9085233345304</v>
      </c>
      <c r="L120" s="314">
        <f t="shared" si="12"/>
        <v>34257.75529040688</v>
      </c>
    </row>
    <row r="121" spans="1:12" ht="15.6" customHeight="1" x14ac:dyDescent="0.3">
      <c r="A121" s="286" t="str">
        <f t="shared" si="7"/>
        <v>3945 Jay School Corporation</v>
      </c>
      <c r="B121" s="307" t="s">
        <v>2225</v>
      </c>
      <c r="C121" s="308" t="s">
        <v>2226</v>
      </c>
      <c r="D121" s="309">
        <v>676</v>
      </c>
      <c r="E121" s="310">
        <f t="shared" si="8"/>
        <v>4.131019310681985E-3</v>
      </c>
      <c r="F121" s="311">
        <f t="shared" si="9"/>
        <v>114620.9340671523</v>
      </c>
      <c r="G121" s="312">
        <f>VLOOKUP(B121,'[1]Step 4 Final Title II FY20'!A121:Q518,15,FALSE)</f>
        <v>-17430.287663152616</v>
      </c>
      <c r="H121" s="313">
        <v>3711</v>
      </c>
      <c r="I121" s="310">
        <f t="shared" si="10"/>
        <v>3.2336825815086684E-3</v>
      </c>
      <c r="J121" s="311">
        <f t="shared" si="11"/>
        <v>22430.766482426228</v>
      </c>
      <c r="K121" s="312">
        <f>VLOOKUP(B121,'[1]Step 4 Final Title II FY20'!A121:Q518,16,FALSE)</f>
        <v>-652.49834451012066</v>
      </c>
      <c r="L121" s="314">
        <f t="shared" si="12"/>
        <v>118968.91454191579</v>
      </c>
    </row>
    <row r="122" spans="1:12" ht="15.6" customHeight="1" x14ac:dyDescent="0.3">
      <c r="A122" s="286" t="str">
        <f t="shared" si="7"/>
        <v>3995 Madison Consolidated Schools</v>
      </c>
      <c r="B122" s="307" t="s">
        <v>2227</v>
      </c>
      <c r="C122" s="308" t="s">
        <v>267</v>
      </c>
      <c r="D122" s="309">
        <v>505</v>
      </c>
      <c r="E122" s="310">
        <f t="shared" si="8"/>
        <v>3.0860425323881694E-3</v>
      </c>
      <c r="F122" s="311">
        <f t="shared" si="9"/>
        <v>85626.585360816433</v>
      </c>
      <c r="G122" s="312">
        <f>VLOOKUP(B122,'[1]Step 4 Final Title II FY20'!A122:Q519,15,FALSE)</f>
        <v>15830.452203306049</v>
      </c>
      <c r="H122" s="313">
        <v>3244</v>
      </c>
      <c r="I122" s="310">
        <f t="shared" si="10"/>
        <v>2.8267492035607979E-3</v>
      </c>
      <c r="J122" s="311">
        <f t="shared" si="11"/>
        <v>19608.031923737723</v>
      </c>
      <c r="K122" s="312">
        <f>VLOOKUP(B122,'[1]Step 4 Final Title II FY20'!A122:Q519,16,FALSE)</f>
        <v>-433.59387628627155</v>
      </c>
      <c r="L122" s="314">
        <f t="shared" si="12"/>
        <v>120631.47561157393</v>
      </c>
    </row>
    <row r="123" spans="1:12" ht="15.6" customHeight="1" x14ac:dyDescent="0.3">
      <c r="A123" s="286" t="str">
        <f t="shared" si="7"/>
        <v>4000 Southwestern-Jefferson Co Con</v>
      </c>
      <c r="B123" s="307" t="s">
        <v>2228</v>
      </c>
      <c r="C123" s="308" t="s">
        <v>268</v>
      </c>
      <c r="D123" s="309">
        <v>202</v>
      </c>
      <c r="E123" s="310">
        <f t="shared" si="8"/>
        <v>1.2344170129552677E-3</v>
      </c>
      <c r="F123" s="311">
        <f t="shared" si="9"/>
        <v>34250.63414432657</v>
      </c>
      <c r="G123" s="312">
        <f>VLOOKUP(B123,'[1]Step 4 Final Title II FY20'!A123:Q520,15,FALSE)</f>
        <v>4705.6995804098115</v>
      </c>
      <c r="H123" s="313">
        <v>1300</v>
      </c>
      <c r="I123" s="310">
        <f t="shared" si="10"/>
        <v>1.1327909878634517E-3</v>
      </c>
      <c r="J123" s="311">
        <f t="shared" si="11"/>
        <v>7857.7193282549451</v>
      </c>
      <c r="K123" s="312">
        <f>VLOOKUP(B123,'[1]Step 4 Final Title II FY20'!A123:Q520,16,FALSE)</f>
        <v>-223.71784173954984</v>
      </c>
      <c r="L123" s="314">
        <f t="shared" si="12"/>
        <v>46590.335211251775</v>
      </c>
    </row>
    <row r="124" spans="1:12" ht="15.6" customHeight="1" x14ac:dyDescent="0.3">
      <c r="A124" s="286" t="str">
        <f t="shared" si="7"/>
        <v>4015 Jennings County School Corporation</v>
      </c>
      <c r="B124" s="307" t="s">
        <v>2229</v>
      </c>
      <c r="C124" s="308" t="s">
        <v>2230</v>
      </c>
      <c r="D124" s="309">
        <v>788</v>
      </c>
      <c r="E124" s="310">
        <f t="shared" si="8"/>
        <v>4.815448545587876E-3</v>
      </c>
      <c r="F124" s="311">
        <f t="shared" si="9"/>
        <v>133611.38468182841</v>
      </c>
      <c r="G124" s="312">
        <f>VLOOKUP(B124,'[1]Step 4 Final Title II FY20'!A124:Q521,15,FALSE)</f>
        <v>10651.317110630131</v>
      </c>
      <c r="H124" s="313">
        <v>4713</v>
      </c>
      <c r="I124" s="310">
        <f t="shared" si="10"/>
        <v>4.1068030198464977E-3</v>
      </c>
      <c r="J124" s="311">
        <f t="shared" si="11"/>
        <v>28487.254764665806</v>
      </c>
      <c r="K124" s="312">
        <f>VLOOKUP(B124,'[1]Step 4 Final Title II FY20'!A124:Q521,16,FALSE)</f>
        <v>138.11093642036212</v>
      </c>
      <c r="L124" s="314">
        <f t="shared" si="12"/>
        <v>172888.06749354469</v>
      </c>
    </row>
    <row r="125" spans="1:12" ht="15.6" customHeight="1" x14ac:dyDescent="0.3">
      <c r="A125" s="286" t="str">
        <f t="shared" si="7"/>
        <v>4145 Clark-Pleasant Community Sch Corp</v>
      </c>
      <c r="B125" s="307" t="s">
        <v>2231</v>
      </c>
      <c r="C125" s="308" t="s">
        <v>2232</v>
      </c>
      <c r="D125" s="309">
        <v>517</v>
      </c>
      <c r="E125" s="310">
        <f t="shared" si="8"/>
        <v>3.1593742361280862E-3</v>
      </c>
      <c r="F125" s="311">
        <f t="shared" si="9"/>
        <v>87661.276498103165</v>
      </c>
      <c r="G125" s="312">
        <f>VLOOKUP(B125,'[1]Step 4 Final Title II FY20'!A125:Q522,15,FALSE)</f>
        <v>-9051.0147529869428</v>
      </c>
      <c r="H125" s="313">
        <v>6859</v>
      </c>
      <c r="I125" s="310">
        <f t="shared" si="10"/>
        <v>5.9767795275041651E-3</v>
      </c>
      <c r="J125" s="311">
        <f t="shared" si="11"/>
        <v>41458.536055769742</v>
      </c>
      <c r="K125" s="312">
        <f>VLOOKUP(B125,'[1]Step 4 Final Title II FY20'!A125:Q522,16,FALSE)</f>
        <v>253.72664199113933</v>
      </c>
      <c r="L125" s="314">
        <f t="shared" si="12"/>
        <v>120322.5244428771</v>
      </c>
    </row>
    <row r="126" spans="1:12" ht="15.6" customHeight="1" x14ac:dyDescent="0.3">
      <c r="A126" s="286" t="str">
        <f t="shared" si="7"/>
        <v>4205 Center Grove Community School Corp</v>
      </c>
      <c r="B126" s="307" t="s">
        <v>2233</v>
      </c>
      <c r="C126" s="308" t="s">
        <v>2234</v>
      </c>
      <c r="D126" s="309">
        <v>318</v>
      </c>
      <c r="E126" s="310">
        <f t="shared" si="8"/>
        <v>1.9432901491077976E-3</v>
      </c>
      <c r="F126" s="311">
        <f t="shared" si="9"/>
        <v>53919.315138098267</v>
      </c>
      <c r="G126" s="312">
        <f>VLOOKUP(B126,'[1]Step 4 Final Title II FY20'!A126:Q523,15,FALSE)</f>
        <v>-1627.2118258802802</v>
      </c>
      <c r="H126" s="313">
        <v>9006</v>
      </c>
      <c r="I126" s="310">
        <f t="shared" si="10"/>
        <v>7.8476274128448046E-3</v>
      </c>
      <c r="J126" s="311">
        <f t="shared" si="11"/>
        <v>54435.861746356946</v>
      </c>
      <c r="K126" s="312">
        <f>VLOOKUP(B126,'[1]Step 4 Final Title II FY20'!A126:Q523,16,FALSE)</f>
        <v>713.57808485733403</v>
      </c>
      <c r="L126" s="314">
        <f t="shared" si="12"/>
        <v>107441.54314343227</v>
      </c>
    </row>
    <row r="127" spans="1:12" ht="15.6" customHeight="1" x14ac:dyDescent="0.3">
      <c r="A127" s="286" t="str">
        <f t="shared" si="7"/>
        <v>4215 Edinburgh Community School Corp</v>
      </c>
      <c r="B127" s="307" t="s">
        <v>2235</v>
      </c>
      <c r="C127" s="308" t="s">
        <v>2236</v>
      </c>
      <c r="D127" s="309">
        <v>111</v>
      </c>
      <c r="E127" s="310">
        <f t="shared" si="8"/>
        <v>6.7831825959423122E-4</v>
      </c>
      <c r="F127" s="311">
        <f t="shared" si="9"/>
        <v>18820.893019902225</v>
      </c>
      <c r="G127" s="312">
        <f>VLOOKUP(B127,'[1]Step 4 Final Title II FY20'!A127:Q524,15,FALSE)</f>
        <v>-5982.4257725855423</v>
      </c>
      <c r="H127" s="313">
        <v>903</v>
      </c>
      <c r="I127" s="310">
        <f t="shared" si="10"/>
        <v>7.8685404772361296E-4</v>
      </c>
      <c r="J127" s="311">
        <f t="shared" si="11"/>
        <v>5458.0927333955497</v>
      </c>
      <c r="K127" s="312">
        <f>VLOOKUP(B127,'[1]Step 4 Final Title II FY20'!A127:Q524,16,FALSE)</f>
        <v>62.817972302462294</v>
      </c>
      <c r="L127" s="314">
        <f t="shared" si="12"/>
        <v>18359.377953014697</v>
      </c>
    </row>
    <row r="128" spans="1:12" ht="15.6" customHeight="1" x14ac:dyDescent="0.3">
      <c r="A128" s="286" t="str">
        <f t="shared" si="7"/>
        <v>4225 Franklin Community School Corp</v>
      </c>
      <c r="B128" s="307" t="s">
        <v>2237</v>
      </c>
      <c r="C128" s="308" t="s">
        <v>269</v>
      </c>
      <c r="D128" s="309">
        <v>518</v>
      </c>
      <c r="E128" s="310">
        <f t="shared" si="8"/>
        <v>3.1654852114397459E-3</v>
      </c>
      <c r="F128" s="311">
        <f t="shared" si="9"/>
        <v>87830.834092877049</v>
      </c>
      <c r="G128" s="312">
        <f>VLOOKUP(B128,'[1]Step 4 Final Title II FY20'!A128:Q525,15,FALSE)</f>
        <v>-1536.9774131839222</v>
      </c>
      <c r="H128" s="313">
        <v>5766</v>
      </c>
      <c r="I128" s="310">
        <f t="shared" si="10"/>
        <v>5.0243637200158937E-3</v>
      </c>
      <c r="J128" s="311">
        <f t="shared" si="11"/>
        <v>34852.007420552312</v>
      </c>
      <c r="K128" s="312">
        <f>VLOOKUP(B128,'[1]Step 4 Final Title II FY20'!A128:Q525,16,FALSE)</f>
        <v>433.50865325937775</v>
      </c>
      <c r="L128" s="314">
        <f t="shared" si="12"/>
        <v>121579.37275350481</v>
      </c>
    </row>
    <row r="129" spans="1:12" ht="15.6" customHeight="1" x14ac:dyDescent="0.3">
      <c r="A129" s="286" t="str">
        <f t="shared" si="7"/>
        <v>4245 Greenwood Community Sch Corp</v>
      </c>
      <c r="B129" s="307" t="s">
        <v>2238</v>
      </c>
      <c r="C129" s="308" t="s">
        <v>270</v>
      </c>
      <c r="D129" s="309">
        <v>387</v>
      </c>
      <c r="E129" s="310">
        <f t="shared" si="8"/>
        <v>2.3649474456123197E-3</v>
      </c>
      <c r="F129" s="311">
        <f t="shared" si="9"/>
        <v>65618.789177496947</v>
      </c>
      <c r="G129" s="312">
        <f>VLOOKUP(B129,'[1]Step 4 Final Title II FY20'!A129:Q526,15,FALSE)</f>
        <v>-5129.8284449797939</v>
      </c>
      <c r="H129" s="313">
        <v>4533</v>
      </c>
      <c r="I129" s="310">
        <f t="shared" si="10"/>
        <v>3.9499550369115587E-3</v>
      </c>
      <c r="J129" s="311">
        <f t="shared" si="11"/>
        <v>27399.262857676666</v>
      </c>
      <c r="K129" s="312">
        <f>VLOOKUP(B129,'[1]Step 4 Final Title II FY20'!A129:Q526,16,FALSE)</f>
        <v>214.78554010929656</v>
      </c>
      <c r="L129" s="314">
        <f t="shared" si="12"/>
        <v>88103.009130303108</v>
      </c>
    </row>
    <row r="130" spans="1:12" ht="15.6" customHeight="1" x14ac:dyDescent="0.3">
      <c r="A130" s="286" t="str">
        <f t="shared" si="7"/>
        <v>4255 Nineveh-Hensley-Jackson United</v>
      </c>
      <c r="B130" s="307" t="s">
        <v>2239</v>
      </c>
      <c r="C130" s="308" t="s">
        <v>271</v>
      </c>
      <c r="D130" s="309">
        <v>151</v>
      </c>
      <c r="E130" s="310">
        <f t="shared" si="8"/>
        <v>9.2275727206062085E-4</v>
      </c>
      <c r="F130" s="311">
        <f t="shared" si="9"/>
        <v>25603.196810857982</v>
      </c>
      <c r="G130" s="312">
        <f>VLOOKUP(B130,'[1]Step 4 Final Title II FY20'!A130:Q527,15,FALSE)</f>
        <v>-668.03572571302357</v>
      </c>
      <c r="H130" s="313">
        <v>1964</v>
      </c>
      <c r="I130" s="310">
        <f t="shared" si="10"/>
        <v>1.711385769356784E-3</v>
      </c>
      <c r="J130" s="311">
        <f t="shared" si="11"/>
        <v>11871.200585148239</v>
      </c>
      <c r="K130" s="312">
        <f>VLOOKUP(B130,'[1]Step 4 Final Title II FY20'!A130:Q527,16,FALSE)</f>
        <v>-64.304450350708066</v>
      </c>
      <c r="L130" s="314">
        <f t="shared" si="12"/>
        <v>36742.057219942493</v>
      </c>
    </row>
    <row r="131" spans="1:12" ht="15.6" customHeight="1" x14ac:dyDescent="0.3">
      <c r="A131" s="286" t="str">
        <f t="shared" si="7"/>
        <v>4315 North Knox School Corp</v>
      </c>
      <c r="B131" s="307" t="s">
        <v>2240</v>
      </c>
      <c r="C131" s="308" t="s">
        <v>272</v>
      </c>
      <c r="D131" s="309">
        <v>218</v>
      </c>
      <c r="E131" s="310">
        <f t="shared" si="8"/>
        <v>1.3321926179418234E-3</v>
      </c>
      <c r="F131" s="311">
        <f t="shared" si="9"/>
        <v>36963.555660708873</v>
      </c>
      <c r="G131" s="312">
        <f>VLOOKUP(B131,'[1]Step 4 Final Title II FY20'!A131:Q528,15,FALSE)</f>
        <v>-2307.1659678365177</v>
      </c>
      <c r="H131" s="313">
        <v>1382</v>
      </c>
      <c r="I131" s="310">
        <f t="shared" si="10"/>
        <v>1.2042439578671463E-3</v>
      </c>
      <c r="J131" s="311">
        <f t="shared" si="11"/>
        <v>8353.3600858833342</v>
      </c>
      <c r="K131" s="312">
        <f>VLOOKUP(B131,'[1]Step 4 Final Title II FY20'!A131:Q528,16,FALSE)</f>
        <v>-57.426093921509164</v>
      </c>
      <c r="L131" s="314">
        <f t="shared" si="12"/>
        <v>42952.323684834184</v>
      </c>
    </row>
    <row r="132" spans="1:12" ht="15.6" customHeight="1" x14ac:dyDescent="0.3">
      <c r="A132" s="286" t="str">
        <f t="shared" si="7"/>
        <v>4325 South Knox School Corp</v>
      </c>
      <c r="B132" s="307" t="s">
        <v>2241</v>
      </c>
      <c r="C132" s="308" t="s">
        <v>273</v>
      </c>
      <c r="D132" s="309">
        <v>114</v>
      </c>
      <c r="E132" s="310">
        <f t="shared" si="8"/>
        <v>6.9665118552921044E-4</v>
      </c>
      <c r="F132" s="311">
        <f t="shared" si="9"/>
        <v>19329.565804223905</v>
      </c>
      <c r="G132" s="312">
        <f>VLOOKUP(B132,'[1]Step 4 Final Title II FY20'!A132:Q529,15,FALSE)</f>
        <v>-2874.568756042172</v>
      </c>
      <c r="H132" s="313">
        <v>1096</v>
      </c>
      <c r="I132" s="310">
        <f t="shared" si="10"/>
        <v>9.550299405371869E-4</v>
      </c>
      <c r="J132" s="311">
        <f t="shared" si="11"/>
        <v>6624.6618336672454</v>
      </c>
      <c r="K132" s="312">
        <f>VLOOKUP(B132,'[1]Step 4 Final Title II FY20'!A132:Q529,16,FALSE)</f>
        <v>-40.824794067807488</v>
      </c>
      <c r="L132" s="314">
        <f t="shared" si="12"/>
        <v>23038.834087781168</v>
      </c>
    </row>
    <row r="133" spans="1:12" ht="15.6" customHeight="1" x14ac:dyDescent="0.3">
      <c r="A133" s="286" t="str">
        <f t="shared" si="7"/>
        <v>4335 Vincennes Community School Corp</v>
      </c>
      <c r="B133" s="307" t="s">
        <v>2242</v>
      </c>
      <c r="C133" s="308" t="s">
        <v>2243</v>
      </c>
      <c r="D133" s="309">
        <v>649</v>
      </c>
      <c r="E133" s="310">
        <f t="shared" si="8"/>
        <v>3.9660229772671722E-3</v>
      </c>
      <c r="F133" s="311">
        <f t="shared" si="9"/>
        <v>110042.87900825716</v>
      </c>
      <c r="G133" s="312">
        <f>VLOOKUP(B133,'[1]Step 4 Final Title II FY20'!A133:Q530,15,FALSE)</f>
        <v>-3877.0789227165078</v>
      </c>
      <c r="H133" s="313">
        <v>3117</v>
      </c>
      <c r="I133" s="310">
        <f t="shared" si="10"/>
        <v>2.7160842378233683E-3</v>
      </c>
      <c r="J133" s="311">
        <f t="shared" si="11"/>
        <v>18840.393189362047</v>
      </c>
      <c r="K133" s="312">
        <f>VLOOKUP(B133,'[1]Step 4 Final Title II FY20'!A133:Q530,16,FALSE)</f>
        <v>-78.027857033081091</v>
      </c>
      <c r="L133" s="314">
        <f t="shared" si="12"/>
        <v>124928.16541786962</v>
      </c>
    </row>
    <row r="134" spans="1:12" ht="15.6" customHeight="1" x14ac:dyDescent="0.3">
      <c r="A134" s="286" t="str">
        <f t="shared" si="7"/>
        <v>4345 Wawasee Community School Corp</v>
      </c>
      <c r="B134" s="307" t="s">
        <v>2244</v>
      </c>
      <c r="C134" s="308" t="s">
        <v>274</v>
      </c>
      <c r="D134" s="309">
        <v>304</v>
      </c>
      <c r="E134" s="310">
        <f t="shared" si="8"/>
        <v>1.8577364947445613E-3</v>
      </c>
      <c r="F134" s="311">
        <f t="shared" si="9"/>
        <v>51545.508811263753</v>
      </c>
      <c r="G134" s="312">
        <f>VLOOKUP(B134,'[1]Step 4 Final Title II FY20'!A134:Q531,15,FALSE)</f>
        <v>-6758.9200755491402</v>
      </c>
      <c r="H134" s="313">
        <v>3248</v>
      </c>
      <c r="I134" s="310">
        <f t="shared" si="10"/>
        <v>2.8302347142926854E-3</v>
      </c>
      <c r="J134" s="311">
        <f t="shared" si="11"/>
        <v>19632.209521670815</v>
      </c>
      <c r="K134" s="312">
        <f>VLOOKUP(B134,'[1]Step 4 Final Title II FY20'!A134:Q531,16,FALSE)</f>
        <v>-294.28139320823539</v>
      </c>
      <c r="L134" s="314">
        <f t="shared" si="12"/>
        <v>64124.516864177189</v>
      </c>
    </row>
    <row r="135" spans="1:12" ht="15.6" customHeight="1" x14ac:dyDescent="0.3">
      <c r="A135" s="286" t="str">
        <f t="shared" ref="A135:A198" si="13">B135&amp;" "&amp;C135</f>
        <v>4415 Warsaw Community Schools</v>
      </c>
      <c r="B135" s="307" t="s">
        <v>2245</v>
      </c>
      <c r="C135" s="308" t="s">
        <v>275</v>
      </c>
      <c r="D135" s="309">
        <v>755</v>
      </c>
      <c r="E135" s="310">
        <f t="shared" ref="E135:E198" si="14">D135/$D$5</f>
        <v>4.6137863603031041E-3</v>
      </c>
      <c r="F135" s="311">
        <f t="shared" ref="F135:F198" si="15">E135*$F$2</f>
        <v>128015.9840542899</v>
      </c>
      <c r="G135" s="312">
        <f>VLOOKUP(B135,'[1]Step 4 Final Title II FY20'!A135:Q532,15,FALSE)</f>
        <v>261.2178694876784</v>
      </c>
      <c r="H135" s="313">
        <v>7013</v>
      </c>
      <c r="I135" s="310">
        <f t="shared" ref="I135:I198" si="16">H135/$H$5</f>
        <v>6.1109716906818353E-3</v>
      </c>
      <c r="J135" s="311">
        <f t="shared" ref="J135:J198" si="17">I135*$J$2</f>
        <v>42389.373576193786</v>
      </c>
      <c r="K135" s="312">
        <f>VLOOKUP(B135,'[1]Step 4 Final Title II FY20'!A135:Q532,16,FALSE)</f>
        <v>-655.38122197680786</v>
      </c>
      <c r="L135" s="314">
        <f t="shared" ref="L135:L198" si="18">F135+G135+J135+K135</f>
        <v>170011.19427799457</v>
      </c>
    </row>
    <row r="136" spans="1:12" ht="15.6" customHeight="1" x14ac:dyDescent="0.3">
      <c r="A136" s="286" t="str">
        <f t="shared" si="13"/>
        <v>4445 Tippecanoe Valley School Corp</v>
      </c>
      <c r="B136" s="307" t="s">
        <v>2246</v>
      </c>
      <c r="C136" s="308" t="s">
        <v>276</v>
      </c>
      <c r="D136" s="309">
        <v>215</v>
      </c>
      <c r="E136" s="310">
        <f t="shared" si="14"/>
        <v>1.3138596920068443E-3</v>
      </c>
      <c r="F136" s="311">
        <f t="shared" si="15"/>
        <v>36454.882876387193</v>
      </c>
      <c r="G136" s="312">
        <f>VLOOKUP(B136,'[1]Step 4 Final Title II FY20'!A136:Q533,15,FALSE)</f>
        <v>10834.912064043376</v>
      </c>
      <c r="H136" s="313">
        <v>2077</v>
      </c>
      <c r="I136" s="310">
        <f t="shared" si="16"/>
        <v>1.809851447532607E-3</v>
      </c>
      <c r="J136" s="311">
        <f t="shared" si="17"/>
        <v>12554.217726758092</v>
      </c>
      <c r="K136" s="312">
        <f>VLOOKUP(B136,'[1]Step 4 Final Title II FY20'!A136:Q533,16,FALSE)</f>
        <v>-214.92501126915886</v>
      </c>
      <c r="L136" s="314">
        <f t="shared" si="18"/>
        <v>59629.087655919502</v>
      </c>
    </row>
    <row r="137" spans="1:12" ht="15.6" customHeight="1" x14ac:dyDescent="0.3">
      <c r="A137" s="286" t="str">
        <f t="shared" si="13"/>
        <v>4455 Whitko Community School Corp</v>
      </c>
      <c r="B137" s="307" t="s">
        <v>2247</v>
      </c>
      <c r="C137" s="308" t="s">
        <v>277</v>
      </c>
      <c r="D137" s="309">
        <v>259</v>
      </c>
      <c r="E137" s="310">
        <f t="shared" si="14"/>
        <v>1.582742605719873E-3</v>
      </c>
      <c r="F137" s="311">
        <f t="shared" si="15"/>
        <v>43915.417046438524</v>
      </c>
      <c r="G137" s="312">
        <f>VLOOKUP(B137,'[1]Step 4 Final Title II FY20'!A137:Q534,15,FALSE)</f>
        <v>-3559.7221604039078</v>
      </c>
      <c r="H137" s="313">
        <v>1894</v>
      </c>
      <c r="I137" s="310">
        <f t="shared" si="16"/>
        <v>1.6503893315487519E-3</v>
      </c>
      <c r="J137" s="311">
        <f t="shared" si="17"/>
        <v>11448.092621319127</v>
      </c>
      <c r="K137" s="312">
        <f>VLOOKUP(B137,'[1]Step 4 Final Title II FY20'!A137:Q534,16,FALSE)</f>
        <v>60.913338159545674</v>
      </c>
      <c r="L137" s="314">
        <f t="shared" si="18"/>
        <v>51864.700845513289</v>
      </c>
    </row>
    <row r="138" spans="1:12" ht="15.6" customHeight="1" x14ac:dyDescent="0.3">
      <c r="A138" s="286" t="str">
        <f t="shared" si="13"/>
        <v>4515 Prairie Heights Community Sch Corp</v>
      </c>
      <c r="B138" s="307" t="s">
        <v>2248</v>
      </c>
      <c r="C138" s="308" t="s">
        <v>2249</v>
      </c>
      <c r="D138" s="309">
        <v>149</v>
      </c>
      <c r="E138" s="310">
        <f t="shared" si="14"/>
        <v>9.1053532143730144E-4</v>
      </c>
      <c r="F138" s="311">
        <f t="shared" si="15"/>
        <v>25264.081621310193</v>
      </c>
      <c r="G138" s="312">
        <f>VLOOKUP(B138,'[1]Step 4 Final Title II FY20'!A138:Q535,15,FALSE)</f>
        <v>-12386.407524673265</v>
      </c>
      <c r="H138" s="313">
        <v>1577</v>
      </c>
      <c r="I138" s="310">
        <f t="shared" si="16"/>
        <v>1.374162606046664E-3</v>
      </c>
      <c r="J138" s="311">
        <f t="shared" si="17"/>
        <v>9532.0179851215744</v>
      </c>
      <c r="K138" s="312">
        <f>VLOOKUP(B138,'[1]Step 4 Final Title II FY20'!A138:Q535,16,FALSE)</f>
        <v>-35.418091493209431</v>
      </c>
      <c r="L138" s="314">
        <f t="shared" si="18"/>
        <v>22374.273990265297</v>
      </c>
    </row>
    <row r="139" spans="1:12" ht="15.6" customHeight="1" x14ac:dyDescent="0.3">
      <c r="A139" s="286" t="str">
        <f t="shared" si="13"/>
        <v>4525 Westview School Corporation</v>
      </c>
      <c r="B139" s="307" t="s">
        <v>2250</v>
      </c>
      <c r="C139" s="308" t="s">
        <v>278</v>
      </c>
      <c r="D139" s="309">
        <v>536</v>
      </c>
      <c r="E139" s="310">
        <f t="shared" si="14"/>
        <v>3.275482767049621E-3</v>
      </c>
      <c r="F139" s="311">
        <f t="shared" si="15"/>
        <v>90882.87079880714</v>
      </c>
      <c r="G139" s="312">
        <f>VLOOKUP(B139,'[1]Step 4 Final Title II FY20'!A139:Q536,15,FALSE)</f>
        <v>-1471.6863188794669</v>
      </c>
      <c r="H139" s="313">
        <v>5532</v>
      </c>
      <c r="I139" s="310">
        <f t="shared" si="16"/>
        <v>4.8204613422004727E-3</v>
      </c>
      <c r="J139" s="311">
        <f t="shared" si="17"/>
        <v>33437.617941466422</v>
      </c>
      <c r="K139" s="312">
        <f>VLOOKUP(B139,'[1]Step 4 Final Title II FY20'!A139:Q536,16,FALSE)</f>
        <v>-51.005446218769066</v>
      </c>
      <c r="L139" s="314">
        <f t="shared" si="18"/>
        <v>122797.79697517533</v>
      </c>
    </row>
    <row r="140" spans="1:12" ht="15.6" customHeight="1" x14ac:dyDescent="0.3">
      <c r="A140" s="286" t="str">
        <f t="shared" si="13"/>
        <v>4535 Lakeland School Corporation</v>
      </c>
      <c r="B140" s="307" t="s">
        <v>2251</v>
      </c>
      <c r="C140" s="308" t="s">
        <v>279</v>
      </c>
      <c r="D140" s="309">
        <v>390</v>
      </c>
      <c r="E140" s="310">
        <f t="shared" si="14"/>
        <v>2.3832803715472988E-3</v>
      </c>
      <c r="F140" s="311">
        <f t="shared" si="15"/>
        <v>66127.461961818626</v>
      </c>
      <c r="G140" s="312">
        <f>VLOOKUP(B140,'[1]Step 4 Final Title II FY20'!A140:Q537,15,FALSE)</f>
        <v>-9208.7799779336419</v>
      </c>
      <c r="H140" s="313">
        <v>3079</v>
      </c>
      <c r="I140" s="310">
        <f t="shared" si="16"/>
        <v>2.6829718858704366E-3</v>
      </c>
      <c r="J140" s="311">
        <f t="shared" si="17"/>
        <v>18610.706008997673</v>
      </c>
      <c r="K140" s="312">
        <f>VLOOKUP(B140,'[1]Step 4 Final Title II FY20'!A140:Q537,16,FALSE)</f>
        <v>-45.211369404729339</v>
      </c>
      <c r="L140" s="314">
        <f t="shared" si="18"/>
        <v>75484.176623477935</v>
      </c>
    </row>
    <row r="141" spans="1:12" ht="15.6" customHeight="1" x14ac:dyDescent="0.3">
      <c r="A141" s="286" t="str">
        <f t="shared" si="13"/>
        <v>4580 Hanover Community School Corp</v>
      </c>
      <c r="B141" s="307" t="s">
        <v>2252</v>
      </c>
      <c r="C141" s="308" t="s">
        <v>280</v>
      </c>
      <c r="D141" s="309">
        <v>107</v>
      </c>
      <c r="E141" s="310">
        <f t="shared" si="14"/>
        <v>6.538743583475923E-4</v>
      </c>
      <c r="F141" s="311">
        <f t="shared" si="15"/>
        <v>18142.662640806651</v>
      </c>
      <c r="G141" s="312">
        <f>VLOOKUP(B141,'[1]Step 4 Final Title II FY20'!A141:Q538,15,FALSE)</f>
        <v>1406.7818839668216</v>
      </c>
      <c r="H141" s="313">
        <v>2078</v>
      </c>
      <c r="I141" s="310">
        <f t="shared" si="16"/>
        <v>1.8107228252155789E-3</v>
      </c>
      <c r="J141" s="311">
        <f t="shared" si="17"/>
        <v>12560.262126241365</v>
      </c>
      <c r="K141" s="312">
        <f>VLOOKUP(B141,'[1]Step 4 Final Title II FY20'!A141:Q538,16,FALSE)</f>
        <v>-148.68142278533742</v>
      </c>
      <c r="L141" s="314">
        <f t="shared" si="18"/>
        <v>31961.025228229497</v>
      </c>
    </row>
    <row r="142" spans="1:12" ht="15.6" customHeight="1" x14ac:dyDescent="0.3">
      <c r="A142" s="286" t="str">
        <f t="shared" si="13"/>
        <v>4590 River Forest Community Sch Corp</v>
      </c>
      <c r="B142" s="307" t="s">
        <v>2253</v>
      </c>
      <c r="C142" s="308" t="s">
        <v>281</v>
      </c>
      <c r="D142" s="309">
        <v>334</v>
      </c>
      <c r="E142" s="310">
        <f t="shared" si="14"/>
        <v>2.0410657540943533E-3</v>
      </c>
      <c r="F142" s="311">
        <f t="shared" si="15"/>
        <v>56632.236654480563</v>
      </c>
      <c r="G142" s="312">
        <f>VLOOKUP(B142,'[1]Step 4 Final Title II FY20'!A142:Q539,15,FALSE)</f>
        <v>9489.7151572727671</v>
      </c>
      <c r="H142" s="313">
        <v>1227</v>
      </c>
      <c r="I142" s="310">
        <f t="shared" si="16"/>
        <v>1.0691804170065041E-3</v>
      </c>
      <c r="J142" s="311">
        <f t="shared" si="17"/>
        <v>7416.4781659760138</v>
      </c>
      <c r="K142" s="312">
        <f>VLOOKUP(B142,'[1]Step 4 Final Title II FY20'!A142:Q539,16,FALSE)</f>
        <v>-78.734666653297609</v>
      </c>
      <c r="L142" s="314">
        <f t="shared" si="18"/>
        <v>73459.695311076051</v>
      </c>
    </row>
    <row r="143" spans="1:12" ht="15.6" customHeight="1" x14ac:dyDescent="0.3">
      <c r="A143" s="286" t="str">
        <f t="shared" si="13"/>
        <v>4600 Merrillville Community School Corp</v>
      </c>
      <c r="B143" s="307" t="s">
        <v>2254</v>
      </c>
      <c r="C143" s="308" t="s">
        <v>2255</v>
      </c>
      <c r="D143" s="309">
        <v>1141</v>
      </c>
      <c r="E143" s="310">
        <f t="shared" si="14"/>
        <v>6.9726228306037641E-3</v>
      </c>
      <c r="F143" s="311">
        <f t="shared" si="15"/>
        <v>193465.21563701297</v>
      </c>
      <c r="G143" s="312">
        <f>VLOOKUP(B143,'[1]Step 4 Final Title II FY20'!A143:Q540,15,FALSE)</f>
        <v>43118.278411915497</v>
      </c>
      <c r="H143" s="313">
        <v>7037</v>
      </c>
      <c r="I143" s="310">
        <f t="shared" si="16"/>
        <v>6.1318847550731609E-3</v>
      </c>
      <c r="J143" s="311">
        <f t="shared" si="17"/>
        <v>42534.43916379234</v>
      </c>
      <c r="K143" s="312">
        <f>VLOOKUP(B143,'[1]Step 4 Final Title II FY20'!A143:Q540,16,FALSE)</f>
        <v>-960.11949229626043</v>
      </c>
      <c r="L143" s="314">
        <f t="shared" si="18"/>
        <v>278157.81372042454</v>
      </c>
    </row>
    <row r="144" spans="1:12" ht="15.6" customHeight="1" x14ac:dyDescent="0.3">
      <c r="A144" s="286" t="str">
        <f t="shared" si="13"/>
        <v>4615 Lake Central School Corporation</v>
      </c>
      <c r="B144" s="307" t="s">
        <v>2256</v>
      </c>
      <c r="C144" s="308" t="s">
        <v>2257</v>
      </c>
      <c r="D144" s="309">
        <v>664</v>
      </c>
      <c r="E144" s="310">
        <f t="shared" si="14"/>
        <v>4.0576876069420677E-3</v>
      </c>
      <c r="F144" s="311">
        <f t="shared" si="15"/>
        <v>112586.24292986555</v>
      </c>
      <c r="G144" s="312">
        <f>VLOOKUP(B144,'[1]Step 4 Final Title II FY20'!A144:Q541,15,FALSE)</f>
        <v>12055.859276651041</v>
      </c>
      <c r="H144" s="313">
        <v>10640</v>
      </c>
      <c r="I144" s="310">
        <f t="shared" si="16"/>
        <v>9.2714585468208661E-3</v>
      </c>
      <c r="J144" s="311">
        <f t="shared" si="17"/>
        <v>64312.410502025086</v>
      </c>
      <c r="K144" s="312">
        <f>VLOOKUP(B144,'[1]Step 4 Final Title II FY20'!A144:Q541,16,FALSE)</f>
        <v>-721.31029502900492</v>
      </c>
      <c r="L144" s="314">
        <f t="shared" si="18"/>
        <v>188233.20241351268</v>
      </c>
    </row>
    <row r="145" spans="1:12" ht="15.6" customHeight="1" x14ac:dyDescent="0.3">
      <c r="A145" s="286" t="str">
        <f t="shared" si="13"/>
        <v>4645 Tri-Creek School Corporation</v>
      </c>
      <c r="B145" s="307" t="s">
        <v>2258</v>
      </c>
      <c r="C145" s="308" t="s">
        <v>282</v>
      </c>
      <c r="D145" s="309">
        <v>257</v>
      </c>
      <c r="E145" s="310">
        <f t="shared" si="14"/>
        <v>1.5705206550965533E-3</v>
      </c>
      <c r="F145" s="311">
        <f t="shared" si="15"/>
        <v>43576.301856890736</v>
      </c>
      <c r="G145" s="312">
        <f>VLOOKUP(B145,'[1]Step 4 Final Title II FY20'!A145:Q542,15,FALSE)</f>
        <v>2628.8355824799582</v>
      </c>
      <c r="H145" s="313">
        <v>3544</v>
      </c>
      <c r="I145" s="310">
        <f t="shared" si="16"/>
        <v>3.0881625084523633E-3</v>
      </c>
      <c r="J145" s="311">
        <f t="shared" si="17"/>
        <v>21421.351768719633</v>
      </c>
      <c r="K145" s="312">
        <f>VLOOKUP(B145,'[1]Step 4 Final Title II FY20'!A145:Q542,16,FALSE)</f>
        <v>-337.47338574833338</v>
      </c>
      <c r="L145" s="314">
        <f t="shared" si="18"/>
        <v>67289.015822341986</v>
      </c>
    </row>
    <row r="146" spans="1:12" ht="15.6" customHeight="1" x14ac:dyDescent="0.3">
      <c r="A146" s="286" t="str">
        <f t="shared" si="13"/>
        <v>4650 Lake Ridge New Tech Schools</v>
      </c>
      <c r="B146" s="307" t="s">
        <v>2259</v>
      </c>
      <c r="C146" s="308" t="s">
        <v>2260</v>
      </c>
      <c r="D146" s="309">
        <v>539</v>
      </c>
      <c r="E146" s="310">
        <f t="shared" si="14"/>
        <v>3.2938156929846005E-3</v>
      </c>
      <c r="F146" s="311">
        <f t="shared" si="15"/>
        <v>91391.543583128834</v>
      </c>
      <c r="G146" s="312">
        <f>VLOOKUP(B146,'[1]Step 4 Final Title II FY20'!A146:Q543,15,FALSE)</f>
        <v>7682.4211653915409</v>
      </c>
      <c r="H146" s="313">
        <v>1968</v>
      </c>
      <c r="I146" s="310">
        <f t="shared" si="16"/>
        <v>1.7148712800886714E-3</v>
      </c>
      <c r="J146" s="311">
        <f t="shared" si="17"/>
        <v>11895.378183081331</v>
      </c>
      <c r="K146" s="312">
        <f>VLOOKUP(B146,'[1]Step 4 Final Title II FY20'!A146:Q543,16,FALSE)</f>
        <v>-90.362244220716093</v>
      </c>
      <c r="L146" s="314">
        <f t="shared" si="18"/>
        <v>110878.980687381</v>
      </c>
    </row>
    <row r="147" spans="1:12" ht="15.6" customHeight="1" x14ac:dyDescent="0.3">
      <c r="A147" s="286" t="str">
        <f t="shared" si="13"/>
        <v>4660 Crown Point Community School Corp</v>
      </c>
      <c r="B147" s="307" t="s">
        <v>2261</v>
      </c>
      <c r="C147" s="308" t="s">
        <v>2262</v>
      </c>
      <c r="D147" s="309">
        <v>424</v>
      </c>
      <c r="E147" s="310">
        <f t="shared" si="14"/>
        <v>2.59105353214373E-3</v>
      </c>
      <c r="F147" s="311">
        <f t="shared" si="15"/>
        <v>71892.420184131013</v>
      </c>
      <c r="G147" s="312">
        <f>VLOOKUP(B147,'[1]Step 4 Final Title II FY20'!A147:Q544,15,FALSE)</f>
        <v>9619.3841896720551</v>
      </c>
      <c r="H147" s="313">
        <v>7113</v>
      </c>
      <c r="I147" s="310">
        <f t="shared" si="16"/>
        <v>6.1981094589790243E-3</v>
      </c>
      <c r="J147" s="311">
        <f t="shared" si="17"/>
        <v>42993.813524521094</v>
      </c>
      <c r="K147" s="312">
        <f>VLOOKUP(B147,'[1]Step 4 Final Title II FY20'!A147:Q544,16,FALSE)</f>
        <v>-383.69258251789142</v>
      </c>
      <c r="L147" s="314">
        <f t="shared" si="18"/>
        <v>124121.92531580626</v>
      </c>
    </row>
    <row r="148" spans="1:12" ht="15.6" customHeight="1" x14ac:dyDescent="0.3">
      <c r="A148" s="286" t="str">
        <f t="shared" si="13"/>
        <v>4670 School City of East Chicago</v>
      </c>
      <c r="B148" s="307" t="s">
        <v>2263</v>
      </c>
      <c r="C148" s="308" t="s">
        <v>283</v>
      </c>
      <c r="D148" s="309">
        <v>1652</v>
      </c>
      <c r="E148" s="310">
        <f t="shared" si="14"/>
        <v>1.0095331214861891E-2</v>
      </c>
      <c r="F148" s="311">
        <f t="shared" si="15"/>
        <v>280109.14656647271</v>
      </c>
      <c r="G148" s="312">
        <f>VLOOKUP(B148,'[1]Step 4 Final Title II FY20'!A148:Q545,15,FALSE)</f>
        <v>26412.025529874838</v>
      </c>
      <c r="H148" s="313">
        <v>4911</v>
      </c>
      <c r="I148" s="310">
        <f t="shared" si="16"/>
        <v>4.2793358010749316E-3</v>
      </c>
      <c r="J148" s="311">
        <f t="shared" si="17"/>
        <v>29684.045862353873</v>
      </c>
      <c r="K148" s="312">
        <f>VLOOKUP(B148,'[1]Step 4 Final Title II FY20'!A148:Q545,16,FALSE)</f>
        <v>-77.287741236839793</v>
      </c>
      <c r="L148" s="314">
        <f t="shared" si="18"/>
        <v>336127.93021746457</v>
      </c>
    </row>
    <row r="149" spans="1:12" ht="15.6" customHeight="1" x14ac:dyDescent="0.3">
      <c r="A149" s="286" t="str">
        <f t="shared" si="13"/>
        <v>4680 Lake Station Community Schools</v>
      </c>
      <c r="B149" s="307" t="s">
        <v>2264</v>
      </c>
      <c r="C149" s="308" t="s">
        <v>284</v>
      </c>
      <c r="D149" s="309">
        <v>287</v>
      </c>
      <c r="E149" s="310">
        <f t="shared" si="14"/>
        <v>1.7538499144463457E-3</v>
      </c>
      <c r="F149" s="311">
        <f t="shared" si="15"/>
        <v>48663.02970010756</v>
      </c>
      <c r="G149" s="312">
        <f>VLOOKUP(B149,'[1]Step 4 Final Title II FY20'!A149:Q546,15,FALSE)</f>
        <v>9051.2348288177673</v>
      </c>
      <c r="H149" s="313">
        <v>1346</v>
      </c>
      <c r="I149" s="310">
        <f t="shared" si="16"/>
        <v>1.1728743612801583E-3</v>
      </c>
      <c r="J149" s="311">
        <f t="shared" si="17"/>
        <v>8135.7617044855033</v>
      </c>
      <c r="K149" s="312">
        <f>VLOOKUP(B149,'[1]Step 4 Final Title II FY20'!A149:Q546,16,FALSE)</f>
        <v>-176.67343483932018</v>
      </c>
      <c r="L149" s="314">
        <f t="shared" si="18"/>
        <v>65673.352798571505</v>
      </c>
    </row>
    <row r="150" spans="1:12" ht="15.6" customHeight="1" x14ac:dyDescent="0.3">
      <c r="A150" s="286" t="str">
        <f t="shared" si="13"/>
        <v>4690 Gary Community School Corp</v>
      </c>
      <c r="B150" s="307" t="s">
        <v>2265</v>
      </c>
      <c r="C150" s="308" t="s">
        <v>285</v>
      </c>
      <c r="D150" s="309">
        <v>2638</v>
      </c>
      <c r="E150" s="310">
        <f t="shared" si="14"/>
        <v>1.6120752872158396E-2</v>
      </c>
      <c r="F150" s="311">
        <f t="shared" si="15"/>
        <v>447292.93501353217</v>
      </c>
      <c r="G150" s="312">
        <f>VLOOKUP(B150,'[1]Step 4 Final Title II FY20'!A150:Q547,15,FALSE)</f>
        <v>83909.673546142934</v>
      </c>
      <c r="H150" s="313">
        <v>8398</v>
      </c>
      <c r="I150" s="310">
        <f t="shared" si="16"/>
        <v>7.3178297815978972E-3</v>
      </c>
      <c r="J150" s="311">
        <f t="shared" si="17"/>
        <v>50760.866860526941</v>
      </c>
      <c r="K150" s="312">
        <f>VLOOKUP(B150,'[1]Step 4 Final Title II FY20'!A150:Q547,16,FALSE)</f>
        <v>12.530437762579822</v>
      </c>
      <c r="L150" s="314">
        <f t="shared" si="18"/>
        <v>581976.00585796463</v>
      </c>
    </row>
    <row r="151" spans="1:12" ht="15.6" customHeight="1" x14ac:dyDescent="0.3">
      <c r="A151" s="286" t="str">
        <f t="shared" si="13"/>
        <v>4700 Griffith Public Schools</v>
      </c>
      <c r="B151" s="307" t="s">
        <v>2266</v>
      </c>
      <c r="C151" s="308" t="s">
        <v>286</v>
      </c>
      <c r="D151" s="309">
        <v>332</v>
      </c>
      <c r="E151" s="310">
        <f t="shared" si="14"/>
        <v>2.0288438034710339E-3</v>
      </c>
      <c r="F151" s="311">
        <f t="shared" si="15"/>
        <v>56293.121464932774</v>
      </c>
      <c r="G151" s="312">
        <f>VLOOKUP(B151,'[1]Step 4 Final Title II FY20'!A151:Q548,15,FALSE)</f>
        <v>5074.049465411721</v>
      </c>
      <c r="H151" s="313">
        <v>2638</v>
      </c>
      <c r="I151" s="310">
        <f t="shared" si="16"/>
        <v>2.2986943276798351E-3</v>
      </c>
      <c r="J151" s="311">
        <f t="shared" si="17"/>
        <v>15945.125836874266</v>
      </c>
      <c r="K151" s="312">
        <f>VLOOKUP(B151,'[1]Step 4 Final Title II FY20'!A151:Q548,16,FALSE)</f>
        <v>-221.72565328763085</v>
      </c>
      <c r="L151" s="314">
        <f t="shared" si="18"/>
        <v>77090.571113931132</v>
      </c>
    </row>
    <row r="152" spans="1:12" ht="15.6" customHeight="1" x14ac:dyDescent="0.3">
      <c r="A152" s="286" t="str">
        <f t="shared" si="13"/>
        <v>4710 School City of Hammond</v>
      </c>
      <c r="B152" s="307" t="s">
        <v>2267</v>
      </c>
      <c r="C152" s="308" t="s">
        <v>287</v>
      </c>
      <c r="D152" s="309">
        <v>3252</v>
      </c>
      <c r="E152" s="310">
        <f t="shared" si="14"/>
        <v>1.9872891713517478E-2</v>
      </c>
      <c r="F152" s="311">
        <f t="shared" si="15"/>
        <v>551401.29820470302</v>
      </c>
      <c r="G152" s="312">
        <f>VLOOKUP(B152,'[1]Step 4 Final Title II FY20'!A152:Q549,15,FALSE)</f>
        <v>56637.525363154826</v>
      </c>
      <c r="H152" s="313">
        <v>13735</v>
      </c>
      <c r="I152" s="310">
        <f t="shared" si="16"/>
        <v>1.1968372475618853E-2</v>
      </c>
      <c r="J152" s="311">
        <f t="shared" si="17"/>
        <v>83019.826902755129</v>
      </c>
      <c r="K152" s="312">
        <f>VLOOKUP(B152,'[1]Step 4 Final Title II FY20'!A152:Q549,16,FALSE)</f>
        <v>-1162.8063771171146</v>
      </c>
      <c r="L152" s="314">
        <f t="shared" si="18"/>
        <v>689895.84409349598</v>
      </c>
    </row>
    <row r="153" spans="1:12" ht="15.6" customHeight="1" x14ac:dyDescent="0.3">
      <c r="A153" s="286" t="str">
        <f t="shared" si="13"/>
        <v>4720 School Town of Highland</v>
      </c>
      <c r="B153" s="307" t="s">
        <v>2268</v>
      </c>
      <c r="C153" s="308" t="s">
        <v>288</v>
      </c>
      <c r="D153" s="309">
        <v>312</v>
      </c>
      <c r="E153" s="310">
        <f t="shared" si="14"/>
        <v>1.9066242972378392E-3</v>
      </c>
      <c r="F153" s="311">
        <f t="shared" si="15"/>
        <v>52901.969569454901</v>
      </c>
      <c r="G153" s="312">
        <f>VLOOKUP(B153,'[1]Step 4 Final Title II FY20'!A153:Q550,15,FALSE)</f>
        <v>7456.3785555458599</v>
      </c>
      <c r="H153" s="313">
        <v>3333</v>
      </c>
      <c r="I153" s="310">
        <f t="shared" si="16"/>
        <v>2.9043018173452958E-3</v>
      </c>
      <c r="J153" s="311">
        <f t="shared" si="17"/>
        <v>20145.983477749025</v>
      </c>
      <c r="K153" s="312">
        <f>VLOOKUP(B153,'[1]Step 4 Final Title II FY20'!A153:Q550,16,FALSE)</f>
        <v>-266.95796464930754</v>
      </c>
      <c r="L153" s="314">
        <f t="shared" si="18"/>
        <v>80237.373638100486</v>
      </c>
    </row>
    <row r="154" spans="1:12" ht="15.6" customHeight="1" x14ac:dyDescent="0.3">
      <c r="A154" s="286" t="str">
        <f t="shared" si="13"/>
        <v>4730 School City of Hobart</v>
      </c>
      <c r="B154" s="307" t="s">
        <v>2269</v>
      </c>
      <c r="C154" s="308" t="s">
        <v>289</v>
      </c>
      <c r="D154" s="309">
        <v>471</v>
      </c>
      <c r="E154" s="310">
        <f t="shared" si="14"/>
        <v>2.8782693717917382E-3</v>
      </c>
      <c r="F154" s="311">
        <f t="shared" si="15"/>
        <v>79861.627138504045</v>
      </c>
      <c r="G154" s="312">
        <f>VLOOKUP(B154,'[1]Step 4 Final Title II FY20'!A154:Q551,15,FALSE)</f>
        <v>24949.577757631021</v>
      </c>
      <c r="H154" s="313">
        <v>3667</v>
      </c>
      <c r="I154" s="310">
        <f t="shared" si="16"/>
        <v>3.1953419634579055E-3</v>
      </c>
      <c r="J154" s="311">
        <f t="shared" si="17"/>
        <v>22164.812905162216</v>
      </c>
      <c r="K154" s="312">
        <f>VLOOKUP(B154,'[1]Step 4 Final Title II FY20'!A154:Q551,16,FALSE)</f>
        <v>-177.4185349309264</v>
      </c>
      <c r="L154" s="314">
        <f t="shared" si="18"/>
        <v>126798.59926636635</v>
      </c>
    </row>
    <row r="155" spans="1:12" ht="15.6" customHeight="1" x14ac:dyDescent="0.3">
      <c r="A155" s="286" t="str">
        <f t="shared" si="13"/>
        <v>4740 School Town of Munster</v>
      </c>
      <c r="B155" s="307" t="s">
        <v>2270</v>
      </c>
      <c r="C155" s="308" t="s">
        <v>290</v>
      </c>
      <c r="D155" s="309">
        <v>207</v>
      </c>
      <c r="E155" s="310">
        <f t="shared" si="14"/>
        <v>1.2649718895135665E-3</v>
      </c>
      <c r="F155" s="311">
        <f t="shared" si="15"/>
        <v>35098.422118196046</v>
      </c>
      <c r="G155" s="312">
        <f>VLOOKUP(B155,'[1]Step 4 Final Title II FY20'!A155:Q552,15,FALSE)</f>
        <v>6265.7672534315207</v>
      </c>
      <c r="H155" s="313">
        <v>4009</v>
      </c>
      <c r="I155" s="310">
        <f t="shared" si="16"/>
        <v>3.4933531310342904E-3</v>
      </c>
      <c r="J155" s="311">
        <f t="shared" si="17"/>
        <v>24231.997528441592</v>
      </c>
      <c r="K155" s="312">
        <f>VLOOKUP(B155,'[1]Step 4 Final Title II FY20'!A155:Q552,16,FALSE)</f>
        <v>-305.70913371951247</v>
      </c>
      <c r="L155" s="314">
        <f t="shared" si="18"/>
        <v>65290.477766349635</v>
      </c>
    </row>
    <row r="156" spans="1:12" ht="15.6" customHeight="1" x14ac:dyDescent="0.3">
      <c r="A156" s="286" t="str">
        <f t="shared" si="13"/>
        <v>4760 School City of Whiting</v>
      </c>
      <c r="B156" s="307" t="s">
        <v>2271</v>
      </c>
      <c r="C156" s="308" t="s">
        <v>2272</v>
      </c>
      <c r="D156" s="309">
        <v>124</v>
      </c>
      <c r="E156" s="310">
        <f t="shared" si="14"/>
        <v>7.577609386458079E-4</v>
      </c>
      <c r="F156" s="311">
        <f t="shared" si="15"/>
        <v>21025.141751962845</v>
      </c>
      <c r="G156" s="312">
        <f>VLOOKUP(B156,'[1]Step 4 Final Title II FY20'!A156:Q553,15,FALSE)</f>
        <v>3089.6328519891722</v>
      </c>
      <c r="H156" s="313">
        <v>794</v>
      </c>
      <c r="I156" s="310">
        <f t="shared" si="16"/>
        <v>6.9187388027967735E-4</v>
      </c>
      <c r="J156" s="311">
        <f t="shared" si="17"/>
        <v>4799.2531897187891</v>
      </c>
      <c r="K156" s="312">
        <f>VLOOKUP(B156,'[1]Step 4 Final Title II FY20'!A156:Q553,16,FALSE)</f>
        <v>-17.620229277206818</v>
      </c>
      <c r="L156" s="314">
        <f t="shared" si="18"/>
        <v>28896.407564393601</v>
      </c>
    </row>
    <row r="157" spans="1:12" ht="15.6" customHeight="1" x14ac:dyDescent="0.3">
      <c r="A157" s="286" t="str">
        <f t="shared" si="13"/>
        <v>4805 New Prairie United School Corp</v>
      </c>
      <c r="B157" s="307" t="s">
        <v>2273</v>
      </c>
      <c r="C157" s="308" t="s">
        <v>291</v>
      </c>
      <c r="D157" s="309">
        <v>350</v>
      </c>
      <c r="E157" s="310">
        <f t="shared" si="14"/>
        <v>2.1388413590809094E-3</v>
      </c>
      <c r="F157" s="311">
        <f t="shared" si="15"/>
        <v>59345.158170862873</v>
      </c>
      <c r="G157" s="312">
        <f>VLOOKUP(B157,'[1]Step 4 Final Title II FY20'!A157:Q554,15,FALSE)</f>
        <v>12927.59392502057</v>
      </c>
      <c r="H157" s="313">
        <v>2664</v>
      </c>
      <c r="I157" s="310">
        <f t="shared" si="16"/>
        <v>2.321350147437104E-3</v>
      </c>
      <c r="J157" s="311">
        <f t="shared" si="17"/>
        <v>16102.280223439364</v>
      </c>
      <c r="K157" s="312">
        <f>VLOOKUP(B157,'[1]Step 4 Final Title II FY20'!A157:Q554,16,FALSE)</f>
        <v>-128.813657706698</v>
      </c>
      <c r="L157" s="314">
        <f t="shared" si="18"/>
        <v>88246.21866161612</v>
      </c>
    </row>
    <row r="158" spans="1:12" ht="15.6" customHeight="1" x14ac:dyDescent="0.3">
      <c r="A158" s="286" t="str">
        <f t="shared" si="13"/>
        <v>4860 MSD of New Durham Township</v>
      </c>
      <c r="B158" s="307" t="s">
        <v>2274</v>
      </c>
      <c r="C158" s="308" t="s">
        <v>2275</v>
      </c>
      <c r="D158" s="309">
        <v>127</v>
      </c>
      <c r="E158" s="310">
        <f t="shared" si="14"/>
        <v>7.7609386458078712E-4</v>
      </c>
      <c r="F158" s="311">
        <f t="shared" si="15"/>
        <v>21533.814536284528</v>
      </c>
      <c r="G158" s="312">
        <f>VLOOKUP(B158,'[1]Step 4 Final Title II FY20'!A158:Q555,15,FALSE)</f>
        <v>3262.0827079428</v>
      </c>
      <c r="H158" s="313">
        <v>864</v>
      </c>
      <c r="I158" s="310">
        <f t="shared" si="16"/>
        <v>7.5287031808770938E-4</v>
      </c>
      <c r="J158" s="311">
        <f t="shared" si="17"/>
        <v>5222.3611535479013</v>
      </c>
      <c r="K158" s="312">
        <f>VLOOKUP(B158,'[1]Step 4 Final Title II FY20'!A158:Q555,16,FALSE)</f>
        <v>-109.43312104934466</v>
      </c>
      <c r="L158" s="314">
        <f t="shared" si="18"/>
        <v>29908.825276725885</v>
      </c>
    </row>
    <row r="159" spans="1:12" ht="15.6" customHeight="1" x14ac:dyDescent="0.3">
      <c r="A159" s="286" t="str">
        <f t="shared" si="13"/>
        <v>4915 Tri-Township Cons School Corp</v>
      </c>
      <c r="B159" s="307" t="s">
        <v>2276</v>
      </c>
      <c r="C159" s="308" t="s">
        <v>292</v>
      </c>
      <c r="D159" s="309">
        <v>67</v>
      </c>
      <c r="E159" s="310">
        <f t="shared" si="14"/>
        <v>4.0943534588120263E-4</v>
      </c>
      <c r="F159" s="311">
        <f t="shared" si="15"/>
        <v>11360.358849850893</v>
      </c>
      <c r="G159" s="312">
        <f>VLOOKUP(B159,'[1]Step 4 Final Title II FY20'!A159:Q556,15,FALSE)</f>
        <v>2328.5697526811491</v>
      </c>
      <c r="H159" s="313">
        <v>448</v>
      </c>
      <c r="I159" s="310">
        <f t="shared" si="16"/>
        <v>3.9037720197140484E-4</v>
      </c>
      <c r="J159" s="311">
        <f t="shared" si="17"/>
        <v>2707.890968506319</v>
      </c>
      <c r="K159" s="312">
        <f>VLOOKUP(B159,'[1]Step 4 Final Title II FY20'!A159:Q556,16,FALSE)</f>
        <v>-14.802766348393106</v>
      </c>
      <c r="L159" s="314">
        <f t="shared" si="18"/>
        <v>16382.016804689965</v>
      </c>
    </row>
    <row r="160" spans="1:12" ht="15.6" customHeight="1" x14ac:dyDescent="0.3">
      <c r="A160" s="286" t="str">
        <f t="shared" si="13"/>
        <v>4925 Michigan City Area Schools</v>
      </c>
      <c r="B160" s="307" t="s">
        <v>2277</v>
      </c>
      <c r="C160" s="308" t="s">
        <v>293</v>
      </c>
      <c r="D160" s="309">
        <v>2257</v>
      </c>
      <c r="E160" s="310">
        <f t="shared" si="14"/>
        <v>1.3792471278416036E-2</v>
      </c>
      <c r="F160" s="311">
        <f t="shared" si="15"/>
        <v>382691.49140467856</v>
      </c>
      <c r="G160" s="312">
        <f>VLOOKUP(B160,'[1]Step 4 Final Title II FY20'!A160:Q557,15,FALSE)</f>
        <v>46464.649697500514</v>
      </c>
      <c r="H160" s="313">
        <v>6700</v>
      </c>
      <c r="I160" s="310">
        <f t="shared" si="16"/>
        <v>5.8382304759116354E-3</v>
      </c>
      <c r="J160" s="311">
        <f t="shared" si="17"/>
        <v>40497.476537929331</v>
      </c>
      <c r="K160" s="312">
        <f>VLOOKUP(B160,'[1]Step 4 Final Title II FY20'!A160:Q557,16,FALSE)</f>
        <v>-433.98989260981762</v>
      </c>
      <c r="L160" s="314">
        <f t="shared" si="18"/>
        <v>469219.62774749857</v>
      </c>
    </row>
    <row r="161" spans="1:12" ht="15.6" customHeight="1" x14ac:dyDescent="0.3">
      <c r="A161" s="286" t="str">
        <f t="shared" si="13"/>
        <v>4940 South Central Com School Corp</v>
      </c>
      <c r="B161" s="307" t="s">
        <v>2278</v>
      </c>
      <c r="C161" s="308" t="s">
        <v>294</v>
      </c>
      <c r="D161" s="309">
        <v>96</v>
      </c>
      <c r="E161" s="310">
        <f t="shared" si="14"/>
        <v>5.8665362991933514E-4</v>
      </c>
      <c r="F161" s="311">
        <f t="shared" si="15"/>
        <v>16277.529098293817</v>
      </c>
      <c r="G161" s="312">
        <f>VLOOKUP(B161,'[1]Step 4 Final Title II FY20'!A161:Q558,15,FALSE)</f>
        <v>442.57310495501406</v>
      </c>
      <c r="H161" s="313">
        <v>715</v>
      </c>
      <c r="I161" s="310">
        <f t="shared" si="16"/>
        <v>6.2303504332489844E-4</v>
      </c>
      <c r="J161" s="311">
        <f t="shared" si="17"/>
        <v>4321.7456305402193</v>
      </c>
      <c r="K161" s="312">
        <f>VLOOKUP(B161,'[1]Step 4 Final Title II FY20'!A161:Q558,16,FALSE)</f>
        <v>-31.703821786311892</v>
      </c>
      <c r="L161" s="314">
        <f t="shared" si="18"/>
        <v>21010.14401200274</v>
      </c>
    </row>
    <row r="162" spans="1:12" ht="15.6" customHeight="1" x14ac:dyDescent="0.3">
      <c r="A162" s="286" t="str">
        <f t="shared" si="13"/>
        <v>4945 LaPorte Community School Corp</v>
      </c>
      <c r="B162" s="307" t="s">
        <v>2279</v>
      </c>
      <c r="C162" s="308" t="s">
        <v>295</v>
      </c>
      <c r="D162" s="309">
        <v>1081</v>
      </c>
      <c r="E162" s="310">
        <f t="shared" si="14"/>
        <v>6.6059643119041802E-3</v>
      </c>
      <c r="F162" s="311">
        <f t="shared" si="15"/>
        <v>183291.75995057932</v>
      </c>
      <c r="G162" s="312">
        <f>VLOOKUP(B162,'[1]Step 4 Final Title II FY20'!A162:Q559,15,FALSE)</f>
        <v>668.44913123972947</v>
      </c>
      <c r="H162" s="313">
        <v>6047</v>
      </c>
      <c r="I162" s="310">
        <f t="shared" si="16"/>
        <v>5.2692208489309939E-3</v>
      </c>
      <c r="J162" s="311">
        <f t="shared" si="17"/>
        <v>36550.483675352036</v>
      </c>
      <c r="K162" s="312">
        <f>VLOOKUP(B162,'[1]Step 4 Final Title II FY20'!A162:Q559,16,FALSE)</f>
        <v>-487.46239148272434</v>
      </c>
      <c r="L162" s="314">
        <f t="shared" si="18"/>
        <v>220023.23036568836</v>
      </c>
    </row>
    <row r="163" spans="1:12" ht="15.6" customHeight="1" x14ac:dyDescent="0.3">
      <c r="A163" s="286" t="str">
        <f t="shared" si="13"/>
        <v>5075 North Lawrence Com Schools</v>
      </c>
      <c r="B163" s="307" t="s">
        <v>2280</v>
      </c>
      <c r="C163" s="308" t="s">
        <v>296</v>
      </c>
      <c r="D163" s="309">
        <v>782</v>
      </c>
      <c r="E163" s="310">
        <f t="shared" si="14"/>
        <v>4.778782693717917E-3</v>
      </c>
      <c r="F163" s="311">
        <f t="shared" si="15"/>
        <v>132594.03911318502</v>
      </c>
      <c r="G163" s="312">
        <f>VLOOKUP(B163,'[1]Step 4 Final Title II FY20'!A163:Q560,15,FALSE)</f>
        <v>-1064.261727431498</v>
      </c>
      <c r="H163" s="313">
        <v>5227</v>
      </c>
      <c r="I163" s="310">
        <f t="shared" si="16"/>
        <v>4.5546911488940477E-3</v>
      </c>
      <c r="J163" s="311">
        <f t="shared" si="17"/>
        <v>31594.076099068152</v>
      </c>
      <c r="K163" s="312">
        <f>VLOOKUP(B163,'[1]Step 4 Final Title II FY20'!A163:Q560,16,FALSE)</f>
        <v>-416.54975624597864</v>
      </c>
      <c r="L163" s="314">
        <f t="shared" si="18"/>
        <v>162707.3037285757</v>
      </c>
    </row>
    <row r="164" spans="1:12" ht="15.6" customHeight="1" x14ac:dyDescent="0.3">
      <c r="A164" s="286" t="str">
        <f t="shared" si="13"/>
        <v>5085 Mitchell Community Schools</v>
      </c>
      <c r="B164" s="307" t="s">
        <v>2281</v>
      </c>
      <c r="C164" s="308" t="s">
        <v>297</v>
      </c>
      <c r="D164" s="309">
        <v>250</v>
      </c>
      <c r="E164" s="310">
        <f t="shared" si="14"/>
        <v>1.5277438279149352E-3</v>
      </c>
      <c r="F164" s="311">
        <f t="shared" si="15"/>
        <v>42389.398693473478</v>
      </c>
      <c r="G164" s="312">
        <f>VLOOKUP(B164,'[1]Step 4 Final Title II FY20'!A164:Q561,15,FALSE)</f>
        <v>-4671.8241363692141</v>
      </c>
      <c r="H164" s="313">
        <v>1883</v>
      </c>
      <c r="I164" s="310">
        <f t="shared" si="16"/>
        <v>1.640804177036061E-3</v>
      </c>
      <c r="J164" s="311">
        <f t="shared" si="17"/>
        <v>11381.604227003123</v>
      </c>
      <c r="K164" s="312">
        <f>VLOOKUP(B164,'[1]Step 4 Final Title II FY20'!A164:Q561,16,FALSE)</f>
        <v>-170.42297580544255</v>
      </c>
      <c r="L164" s="314">
        <f t="shared" si="18"/>
        <v>48928.755808301947</v>
      </c>
    </row>
    <row r="165" spans="1:12" ht="15.6" customHeight="1" x14ac:dyDescent="0.3">
      <c r="A165" s="286" t="str">
        <f t="shared" si="13"/>
        <v>5245 Frankton-Lapel Community Schools</v>
      </c>
      <c r="B165" s="307" t="s">
        <v>2282</v>
      </c>
      <c r="C165" s="308" t="s">
        <v>2283</v>
      </c>
      <c r="D165" s="309">
        <v>195</v>
      </c>
      <c r="E165" s="310">
        <f t="shared" si="14"/>
        <v>1.1916401857736494E-3</v>
      </c>
      <c r="F165" s="311">
        <f t="shared" si="15"/>
        <v>33063.730980909313</v>
      </c>
      <c r="G165" s="312">
        <f>VLOOKUP(B165,'[1]Step 4 Final Title II FY20'!A165:Q562,15,FALSE)</f>
        <v>-11409.920416161396</v>
      </c>
      <c r="H165" s="313">
        <v>2140</v>
      </c>
      <c r="I165" s="310">
        <f t="shared" si="16"/>
        <v>1.8647482415598358E-3</v>
      </c>
      <c r="J165" s="311">
        <f t="shared" si="17"/>
        <v>12935.014894204292</v>
      </c>
      <c r="K165" s="312">
        <f>VLOOKUP(B165,'[1]Step 4 Final Title II FY20'!A165:Q562,16,FALSE)</f>
        <v>-61.973018029011655</v>
      </c>
      <c r="L165" s="314">
        <f t="shared" si="18"/>
        <v>34526.852440923198</v>
      </c>
    </row>
    <row r="166" spans="1:12" ht="15.6" customHeight="1" x14ac:dyDescent="0.3">
      <c r="A166" s="286" t="str">
        <f t="shared" si="13"/>
        <v>5255 South Madison Com Sch Corp</v>
      </c>
      <c r="B166" s="307" t="s">
        <v>2284</v>
      </c>
      <c r="C166" s="308" t="s">
        <v>298</v>
      </c>
      <c r="D166" s="309">
        <v>338</v>
      </c>
      <c r="E166" s="310">
        <f t="shared" si="14"/>
        <v>2.0655096553409925E-3</v>
      </c>
      <c r="F166" s="311">
        <f t="shared" si="15"/>
        <v>57310.467033576148</v>
      </c>
      <c r="G166" s="312">
        <f>VLOOKUP(B166,'[1]Step 4 Final Title II FY20'!A166:Q563,15,FALSE)</f>
        <v>-6328.6253000941797</v>
      </c>
      <c r="H166" s="313">
        <v>4455</v>
      </c>
      <c r="I166" s="310">
        <f t="shared" si="16"/>
        <v>3.8819875776397515E-3</v>
      </c>
      <c r="J166" s="311">
        <f t="shared" si="17"/>
        <v>26927.799697981365</v>
      </c>
      <c r="K166" s="312">
        <f>VLOOKUP(B166,'[1]Step 4 Final Title II FY20'!A166:Q563,16,FALSE)</f>
        <v>-128.78407366563988</v>
      </c>
      <c r="L166" s="314">
        <f t="shared" si="18"/>
        <v>77780.857357797693</v>
      </c>
    </row>
    <row r="167" spans="1:12" ht="15.6" customHeight="1" x14ac:dyDescent="0.3">
      <c r="A167" s="286" t="str">
        <f t="shared" si="13"/>
        <v>5265 Alexandria Community School Corp</v>
      </c>
      <c r="B167" s="307" t="s">
        <v>2285</v>
      </c>
      <c r="C167" s="308" t="s">
        <v>2286</v>
      </c>
      <c r="D167" s="309">
        <v>267</v>
      </c>
      <c r="E167" s="310">
        <f t="shared" si="14"/>
        <v>1.6316304082131508E-3</v>
      </c>
      <c r="F167" s="311">
        <f t="shared" si="15"/>
        <v>45271.877804629672</v>
      </c>
      <c r="G167" s="312">
        <f>VLOOKUP(B167,'[1]Step 4 Final Title II FY20'!A167:Q564,15,FALSE)</f>
        <v>-11054.595433308197</v>
      </c>
      <c r="H167" s="313">
        <v>1428</v>
      </c>
      <c r="I167" s="310">
        <f t="shared" si="16"/>
        <v>1.2443273312838529E-3</v>
      </c>
      <c r="J167" s="311">
        <f t="shared" si="17"/>
        <v>8631.4024621138924</v>
      </c>
      <c r="K167" s="312">
        <f>VLOOKUP(B167,'[1]Step 4 Final Title II FY20'!A167:Q564,16,FALSE)</f>
        <v>-96.446172374469825</v>
      </c>
      <c r="L167" s="314">
        <f t="shared" si="18"/>
        <v>42752.238661060903</v>
      </c>
    </row>
    <row r="168" spans="1:12" ht="15.6" customHeight="1" x14ac:dyDescent="0.3">
      <c r="A168" s="286" t="str">
        <f t="shared" si="13"/>
        <v>5275 Anderson Community School Corp</v>
      </c>
      <c r="B168" s="307" t="s">
        <v>2287</v>
      </c>
      <c r="C168" s="308" t="s">
        <v>299</v>
      </c>
      <c r="D168" s="309">
        <v>2107</v>
      </c>
      <c r="E168" s="310">
        <f t="shared" si="14"/>
        <v>1.2875824981667073E-2</v>
      </c>
      <c r="F168" s="311">
        <f t="shared" si="15"/>
        <v>357257.85218859446</v>
      </c>
      <c r="G168" s="312">
        <f>VLOOKUP(B168,'[1]Step 4 Final Title II FY20'!A168:Q565,15,FALSE)</f>
        <v>-41999.156967876828</v>
      </c>
      <c r="H168" s="313">
        <v>9409</v>
      </c>
      <c r="I168" s="310">
        <f t="shared" si="16"/>
        <v>8.1987926190824744E-3</v>
      </c>
      <c r="J168" s="311">
        <f t="shared" si="17"/>
        <v>56871.754738115982</v>
      </c>
      <c r="K168" s="312">
        <f>VLOOKUP(B168,'[1]Step 4 Final Title II FY20'!A168:Q565,16,FALSE)</f>
        <v>-992.08238356705988</v>
      </c>
      <c r="L168" s="314">
        <f t="shared" si="18"/>
        <v>371138.36757526657</v>
      </c>
    </row>
    <row r="169" spans="1:12" ht="15.6" customHeight="1" x14ac:dyDescent="0.3">
      <c r="A169" s="286" t="str">
        <f t="shared" si="13"/>
        <v>5280 Elwood Community School Corp</v>
      </c>
      <c r="B169" s="307" t="s">
        <v>2288</v>
      </c>
      <c r="C169" s="308" t="s">
        <v>300</v>
      </c>
      <c r="D169" s="309">
        <v>280</v>
      </c>
      <c r="E169" s="310">
        <f t="shared" si="14"/>
        <v>1.7110730872647274E-3</v>
      </c>
      <c r="F169" s="311">
        <f t="shared" si="15"/>
        <v>47476.126536690295</v>
      </c>
      <c r="G169" s="312">
        <f>VLOOKUP(B169,'[1]Step 4 Final Title II FY20'!A169:Q566,15,FALSE)</f>
        <v>-3780.5387617091546</v>
      </c>
      <c r="H169" s="313">
        <v>1580</v>
      </c>
      <c r="I169" s="310">
        <f t="shared" si="16"/>
        <v>1.3767767390955796E-3</v>
      </c>
      <c r="J169" s="311">
        <f t="shared" si="17"/>
        <v>9550.1511835713936</v>
      </c>
      <c r="K169" s="312">
        <f>VLOOKUP(B169,'[1]Step 4 Final Title II FY20'!A169:Q566,16,FALSE)</f>
        <v>-101.33972027546224</v>
      </c>
      <c r="L169" s="314">
        <f t="shared" si="18"/>
        <v>53144.399238277074</v>
      </c>
    </row>
    <row r="170" spans="1:12" ht="15.6" customHeight="1" x14ac:dyDescent="0.3">
      <c r="A170" s="286" t="str">
        <f t="shared" si="13"/>
        <v>5300 MSD Decatur Township</v>
      </c>
      <c r="B170" s="307" t="s">
        <v>2289</v>
      </c>
      <c r="C170" s="308" t="s">
        <v>2290</v>
      </c>
      <c r="D170" s="309">
        <v>1315</v>
      </c>
      <c r="E170" s="310">
        <f t="shared" si="14"/>
        <v>8.0359325348325593E-3</v>
      </c>
      <c r="F170" s="311">
        <f t="shared" si="15"/>
        <v>222968.23712767049</v>
      </c>
      <c r="G170" s="312">
        <f>VLOOKUP(B170,'[1]Step 4 Final Title II FY20'!A170:Q567,15,FALSE)</f>
        <v>7022.9576520703558</v>
      </c>
      <c r="H170" s="313">
        <v>7195</v>
      </c>
      <c r="I170" s="310">
        <f t="shared" si="16"/>
        <v>6.2695624289827185E-3</v>
      </c>
      <c r="J170" s="311">
        <f t="shared" si="17"/>
        <v>43489.454282149476</v>
      </c>
      <c r="K170" s="312">
        <f>VLOOKUP(B170,'[1]Step 4 Final Title II FY20'!A170:Q567,16,FALSE)</f>
        <v>462.89088262226869</v>
      </c>
      <c r="L170" s="314">
        <f t="shared" si="18"/>
        <v>273943.53994451259</v>
      </c>
    </row>
    <row r="171" spans="1:12" ht="15.6" customHeight="1" x14ac:dyDescent="0.3">
      <c r="A171" s="286" t="str">
        <f t="shared" si="13"/>
        <v>5310 Franklin Township Com Sch Corp</v>
      </c>
      <c r="B171" s="307" t="s">
        <v>2291</v>
      </c>
      <c r="C171" s="308" t="s">
        <v>301</v>
      </c>
      <c r="D171" s="309">
        <v>830</v>
      </c>
      <c r="E171" s="310">
        <f t="shared" si="14"/>
        <v>5.0721095086775853E-3</v>
      </c>
      <c r="F171" s="311">
        <f t="shared" si="15"/>
        <v>140732.80366233195</v>
      </c>
      <c r="G171" s="312">
        <f>VLOOKUP(B171,'[1]Step 4 Final Title II FY20'!A171:Q568,15,FALSE)</f>
        <v>-12816.675553993293</v>
      </c>
      <c r="H171" s="313">
        <v>11351</v>
      </c>
      <c r="I171" s="310">
        <f t="shared" si="16"/>
        <v>9.8910080794138763E-3</v>
      </c>
      <c r="J171" s="311">
        <f t="shared" si="17"/>
        <v>68609.978534632202</v>
      </c>
      <c r="K171" s="312">
        <f>VLOOKUP(B171,'[1]Step 4 Final Title II FY20'!A171:Q568,16,FALSE)</f>
        <v>350.50827175419545</v>
      </c>
      <c r="L171" s="314">
        <f t="shared" si="18"/>
        <v>196876.61491472507</v>
      </c>
    </row>
    <row r="172" spans="1:12" ht="15.6" customHeight="1" x14ac:dyDescent="0.3">
      <c r="A172" s="286" t="str">
        <f t="shared" si="13"/>
        <v>5330 MSD Lawrence Township</v>
      </c>
      <c r="B172" s="307" t="s">
        <v>2292</v>
      </c>
      <c r="C172" s="308" t="s">
        <v>2293</v>
      </c>
      <c r="D172" s="309">
        <v>2504</v>
      </c>
      <c r="E172" s="310">
        <f t="shared" si="14"/>
        <v>1.5301882180395991E-2</v>
      </c>
      <c r="F172" s="311">
        <f t="shared" si="15"/>
        <v>424572.21731383033</v>
      </c>
      <c r="G172" s="312">
        <f>VLOOKUP(B172,'[1]Step 4 Final Title II FY20'!A172:Q569,15,FALSE)</f>
        <v>-21309.552811545145</v>
      </c>
      <c r="H172" s="313">
        <v>18675</v>
      </c>
      <c r="I172" s="310">
        <f t="shared" si="16"/>
        <v>1.6272978229499968E-2</v>
      </c>
      <c r="J172" s="311">
        <f t="shared" si="17"/>
        <v>112879.16035012392</v>
      </c>
      <c r="K172" s="312">
        <f>VLOOKUP(B172,'[1]Step 4 Final Title II FY20'!A172:Q569,16,FALSE)</f>
        <v>165.74629174389702</v>
      </c>
      <c r="L172" s="314">
        <f t="shared" si="18"/>
        <v>516307.57114415296</v>
      </c>
    </row>
    <row r="173" spans="1:12" ht="15.6" customHeight="1" x14ac:dyDescent="0.3">
      <c r="A173" s="286" t="str">
        <f t="shared" si="13"/>
        <v>5340 Perry Township Schools</v>
      </c>
      <c r="B173" s="307" t="s">
        <v>2294</v>
      </c>
      <c r="C173" s="308" t="s">
        <v>302</v>
      </c>
      <c r="D173" s="309">
        <v>2114</v>
      </c>
      <c r="E173" s="310">
        <f t="shared" si="14"/>
        <v>1.2918601808848693E-2</v>
      </c>
      <c r="F173" s="311">
        <f t="shared" si="15"/>
        <v>358444.75535201177</v>
      </c>
      <c r="G173" s="312">
        <f>VLOOKUP(B173,'[1]Step 4 Final Title II FY20'!A173:Q570,15,FALSE)</f>
        <v>-24216.503866330662</v>
      </c>
      <c r="H173" s="313">
        <v>16519</v>
      </c>
      <c r="I173" s="310">
        <f t="shared" si="16"/>
        <v>1.4394287945012582E-2</v>
      </c>
      <c r="J173" s="311">
        <f t="shared" si="17"/>
        <v>99847.435064187244</v>
      </c>
      <c r="K173" s="312">
        <f>VLOOKUP(B173,'[1]Step 4 Final Title II FY20'!A173:Q570,16,FALSE)</f>
        <v>453.60697290315875</v>
      </c>
      <c r="L173" s="314">
        <f t="shared" si="18"/>
        <v>434529.29352277145</v>
      </c>
    </row>
    <row r="174" spans="1:12" ht="15.6" customHeight="1" x14ac:dyDescent="0.3">
      <c r="A174" s="286" t="str">
        <f t="shared" si="13"/>
        <v>5350 MSD Pike Township</v>
      </c>
      <c r="B174" s="307" t="s">
        <v>2295</v>
      </c>
      <c r="C174" s="308" t="s">
        <v>2296</v>
      </c>
      <c r="D174" s="309">
        <v>2039</v>
      </c>
      <c r="E174" s="310">
        <f t="shared" si="14"/>
        <v>1.2460278660474212E-2</v>
      </c>
      <c r="F174" s="311">
        <f t="shared" si="15"/>
        <v>345727.93574396969</v>
      </c>
      <c r="G174" s="312">
        <f>VLOOKUP(B174,'[1]Step 4 Final Title II FY20'!A174:Q571,15,FALSE)</f>
        <v>-10103.717977432068</v>
      </c>
      <c r="H174" s="313">
        <v>13467</v>
      </c>
      <c r="I174" s="310">
        <f t="shared" si="16"/>
        <v>1.1734843256582387E-2</v>
      </c>
      <c r="J174" s="311">
        <f t="shared" si="17"/>
        <v>81399.92784123795</v>
      </c>
      <c r="K174" s="312">
        <f>VLOOKUP(B174,'[1]Step 4 Final Title II FY20'!A174:Q571,16,FALSE)</f>
        <v>499.38454730030207</v>
      </c>
      <c r="L174" s="314">
        <f t="shared" si="18"/>
        <v>417523.53015507583</v>
      </c>
    </row>
    <row r="175" spans="1:12" ht="15.6" customHeight="1" x14ac:dyDescent="0.3">
      <c r="A175" s="286" t="str">
        <f t="shared" si="13"/>
        <v>5360 MSD Warren Township</v>
      </c>
      <c r="B175" s="307" t="s">
        <v>2297</v>
      </c>
      <c r="C175" s="308" t="s">
        <v>2298</v>
      </c>
      <c r="D175" s="309">
        <v>2448</v>
      </c>
      <c r="E175" s="310">
        <f t="shared" si="14"/>
        <v>1.4959667562943046E-2</v>
      </c>
      <c r="F175" s="311">
        <f t="shared" si="15"/>
        <v>415076.99200649234</v>
      </c>
      <c r="G175" s="312">
        <f>VLOOKUP(B175,'[1]Step 4 Final Title II FY20'!A175:Q572,15,FALSE)</f>
        <v>6720.6989262913703</v>
      </c>
      <c r="H175" s="313">
        <v>12551</v>
      </c>
      <c r="I175" s="310">
        <f t="shared" si="16"/>
        <v>1.093666129898014E-2</v>
      </c>
      <c r="J175" s="311">
        <f t="shared" si="17"/>
        <v>75863.257914559857</v>
      </c>
      <c r="K175" s="312">
        <f>VLOOKUP(B175,'[1]Step 4 Final Title II FY20'!A175:Q572,16,FALSE)</f>
        <v>-219.12171814066824</v>
      </c>
      <c r="L175" s="314">
        <f t="shared" si="18"/>
        <v>497441.82712920289</v>
      </c>
    </row>
    <row r="176" spans="1:12" ht="15.6" customHeight="1" x14ac:dyDescent="0.3">
      <c r="A176" s="286" t="str">
        <f t="shared" si="13"/>
        <v>5370 MSD Washington Township</v>
      </c>
      <c r="B176" s="307" t="s">
        <v>2299</v>
      </c>
      <c r="C176" s="308" t="s">
        <v>2300</v>
      </c>
      <c r="D176" s="309">
        <v>1951</v>
      </c>
      <c r="E176" s="310">
        <f t="shared" si="14"/>
        <v>1.1922512833048154E-2</v>
      </c>
      <c r="F176" s="311">
        <f t="shared" si="15"/>
        <v>330806.86740386701</v>
      </c>
      <c r="G176" s="312">
        <f>VLOOKUP(B176,'[1]Step 4 Final Title II FY20'!A176:Q573,15,FALSE)</f>
        <v>50293.581950696243</v>
      </c>
      <c r="H176" s="313">
        <v>13410</v>
      </c>
      <c r="I176" s="310">
        <f t="shared" si="16"/>
        <v>1.168517472865299E-2</v>
      </c>
      <c r="J176" s="311">
        <f t="shared" si="17"/>
        <v>81055.397070691397</v>
      </c>
      <c r="K176" s="312">
        <f>VLOOKUP(B176,'[1]Step 4 Final Title II FY20'!A176:Q573,16,FALSE)</f>
        <v>147.74619684342179</v>
      </c>
      <c r="L176" s="314">
        <f t="shared" si="18"/>
        <v>462303.59262209805</v>
      </c>
    </row>
    <row r="177" spans="1:12" ht="15.6" customHeight="1" x14ac:dyDescent="0.3">
      <c r="A177" s="286" t="str">
        <f t="shared" si="13"/>
        <v>5375 MSD Wayne Township</v>
      </c>
      <c r="B177" s="307" t="s">
        <v>2301</v>
      </c>
      <c r="C177" s="308" t="s">
        <v>2302</v>
      </c>
      <c r="D177" s="309">
        <v>2927</v>
      </c>
      <c r="E177" s="310">
        <f t="shared" si="14"/>
        <v>1.7886824737228062E-2</v>
      </c>
      <c r="F177" s="311">
        <f t="shared" si="15"/>
        <v>496295.07990318752</v>
      </c>
      <c r="G177" s="312">
        <f>VLOOKUP(B177,'[1]Step 4 Final Title II FY20'!A177:Q574,15,FALSE)</f>
        <v>-100243.84978669009</v>
      </c>
      <c r="H177" s="313">
        <v>14983</v>
      </c>
      <c r="I177" s="310">
        <f t="shared" si="16"/>
        <v>1.3055851823967766E-2</v>
      </c>
      <c r="J177" s="311">
        <f t="shared" si="17"/>
        <v>90563.237457879863</v>
      </c>
      <c r="K177" s="312">
        <f>VLOOKUP(B177,'[1]Step 4 Final Title II FY20'!A177:Q574,16,FALSE)</f>
        <v>621.82309900691325</v>
      </c>
      <c r="L177" s="314">
        <f t="shared" si="18"/>
        <v>487236.29067338421</v>
      </c>
    </row>
    <row r="178" spans="1:12" ht="15.6" customHeight="1" x14ac:dyDescent="0.3">
      <c r="A178" s="286" t="str">
        <f t="shared" si="13"/>
        <v>5380 Beech Grove City Schools</v>
      </c>
      <c r="B178" s="307" t="s">
        <v>2303</v>
      </c>
      <c r="C178" s="308" t="s">
        <v>303</v>
      </c>
      <c r="D178" s="309">
        <v>546</v>
      </c>
      <c r="E178" s="310">
        <f t="shared" si="14"/>
        <v>3.3365925201662185E-3</v>
      </c>
      <c r="F178" s="311">
        <f t="shared" si="15"/>
        <v>92578.446746546077</v>
      </c>
      <c r="G178" s="312">
        <f>VLOOKUP(B178,'[1]Step 4 Final Title II FY20'!A178:Q575,15,FALSE)</f>
        <v>-6283.4114288980636</v>
      </c>
      <c r="H178" s="313">
        <v>2623</v>
      </c>
      <c r="I178" s="310">
        <f t="shared" si="16"/>
        <v>2.2856236624352565E-3</v>
      </c>
      <c r="J178" s="311">
        <f t="shared" si="17"/>
        <v>15854.459844625168</v>
      </c>
      <c r="K178" s="312">
        <f>VLOOKUP(B178,'[1]Step 4 Final Title II FY20'!A178:Q575,16,FALSE)</f>
        <v>174.59236557177792</v>
      </c>
      <c r="L178" s="314">
        <f t="shared" si="18"/>
        <v>102324.08752784495</v>
      </c>
    </row>
    <row r="179" spans="1:12" ht="15.6" customHeight="1" x14ac:dyDescent="0.3">
      <c r="A179" s="286" t="str">
        <f t="shared" si="13"/>
        <v>5385 Indianapolis Public Schools</v>
      </c>
      <c r="B179" s="307" t="s">
        <v>2304</v>
      </c>
      <c r="C179" s="308" t="s">
        <v>304</v>
      </c>
      <c r="D179" s="309">
        <v>7615</v>
      </c>
      <c r="E179" s="310">
        <f t="shared" si="14"/>
        <v>4.6535076998288925E-2</v>
      </c>
      <c r="F179" s="311">
        <f t="shared" si="15"/>
        <v>1291181.084203202</v>
      </c>
      <c r="G179" s="312">
        <f>VLOOKUP(B179,'[1]Step 4 Final Title II FY20'!A179:Q576,15,FALSE)</f>
        <v>-125951.67704334692</v>
      </c>
      <c r="H179" s="313">
        <v>34072</v>
      </c>
      <c r="I179" s="310">
        <f t="shared" si="16"/>
        <v>2.9689580414218094E-2</v>
      </c>
      <c r="J179" s="311">
        <f t="shared" si="17"/>
        <v>205944.77919407882</v>
      </c>
      <c r="K179" s="312">
        <f>VLOOKUP(B179,'[1]Step 4 Final Title II FY20'!A179:Q576,16,FALSE)</f>
        <v>-6381.4582974900841</v>
      </c>
      <c r="L179" s="314">
        <f t="shared" si="18"/>
        <v>1364792.7280564439</v>
      </c>
    </row>
    <row r="180" spans="1:12" ht="15.6" customHeight="1" x14ac:dyDescent="0.3">
      <c r="A180" s="286" t="str">
        <f t="shared" si="13"/>
        <v>5400 School Town of Speedway</v>
      </c>
      <c r="B180" s="307" t="s">
        <v>2305</v>
      </c>
      <c r="C180" s="308" t="s">
        <v>305</v>
      </c>
      <c r="D180" s="309">
        <v>268</v>
      </c>
      <c r="E180" s="310">
        <f t="shared" si="14"/>
        <v>1.6377413835248105E-3</v>
      </c>
      <c r="F180" s="311">
        <f t="shared" si="15"/>
        <v>45441.43539940357</v>
      </c>
      <c r="G180" s="312">
        <f>VLOOKUP(B180,'[1]Step 4 Final Title II FY20'!A180:Q577,15,FALSE)</f>
        <v>-2479.61582379014</v>
      </c>
      <c r="H180" s="313">
        <v>1766</v>
      </c>
      <c r="I180" s="310">
        <f t="shared" si="16"/>
        <v>1.5388529881283505E-3</v>
      </c>
      <c r="J180" s="311">
        <f t="shared" si="17"/>
        <v>10674.409487460178</v>
      </c>
      <c r="K180" s="312">
        <f>VLOOKUP(B180,'[1]Step 4 Final Title II FY20'!A180:Q577,16,FALSE)</f>
        <v>-0.33678389520900964</v>
      </c>
      <c r="L180" s="314">
        <f t="shared" si="18"/>
        <v>53635.892279178399</v>
      </c>
    </row>
    <row r="181" spans="1:12" ht="15.6" customHeight="1" x14ac:dyDescent="0.3">
      <c r="A181" s="286" t="str">
        <f t="shared" si="13"/>
        <v>5455 Culver Community Schools Corp</v>
      </c>
      <c r="B181" s="307" t="s">
        <v>2306</v>
      </c>
      <c r="C181" s="308" t="s">
        <v>306</v>
      </c>
      <c r="D181" s="309">
        <v>167</v>
      </c>
      <c r="E181" s="310">
        <f t="shared" si="14"/>
        <v>1.0205328770471766E-3</v>
      </c>
      <c r="F181" s="311">
        <f t="shared" si="15"/>
        <v>28316.118327240281</v>
      </c>
      <c r="G181" s="312">
        <f>VLOOKUP(B181,'[1]Step 4 Final Title II FY20'!A181:Q578,15,FALSE)</f>
        <v>1981.6236525238892</v>
      </c>
      <c r="H181" s="313">
        <v>1108</v>
      </c>
      <c r="I181" s="310">
        <f t="shared" si="16"/>
        <v>9.6548647273284949E-4</v>
      </c>
      <c r="J181" s="311">
        <f t="shared" si="17"/>
        <v>6697.1946274665215</v>
      </c>
      <c r="K181" s="312">
        <f>VLOOKUP(B181,'[1]Step 4 Final Title II FY20'!A181:Q578,16,FALSE)</f>
        <v>-20.670835438191716</v>
      </c>
      <c r="L181" s="314">
        <f t="shared" si="18"/>
        <v>36974.265771792503</v>
      </c>
    </row>
    <row r="182" spans="1:12" ht="15.6" customHeight="1" x14ac:dyDescent="0.3">
      <c r="A182" s="286" t="str">
        <f t="shared" si="13"/>
        <v>5470 Argos Community Schools</v>
      </c>
      <c r="B182" s="307" t="s">
        <v>2307</v>
      </c>
      <c r="C182" s="308" t="s">
        <v>307</v>
      </c>
      <c r="D182" s="309">
        <v>110</v>
      </c>
      <c r="E182" s="310">
        <f t="shared" si="14"/>
        <v>6.7220728428257152E-4</v>
      </c>
      <c r="F182" s="311">
        <f t="shared" si="15"/>
        <v>18651.335425128331</v>
      </c>
      <c r="G182" s="312">
        <f>VLOOKUP(B182,'[1]Step 4 Final Title II FY20'!A182:Q579,15,FALSE)</f>
        <v>2347.7338195798802</v>
      </c>
      <c r="H182" s="313">
        <v>695</v>
      </c>
      <c r="I182" s="310">
        <f t="shared" si="16"/>
        <v>6.0560748966546072E-4</v>
      </c>
      <c r="J182" s="311">
        <f t="shared" si="17"/>
        <v>4200.8576408747585</v>
      </c>
      <c r="K182" s="312">
        <f>VLOOKUP(B182,'[1]Step 4 Final Title II FY20'!A182:Q579,16,FALSE)</f>
        <v>-5.3573743907600146</v>
      </c>
      <c r="L182" s="314">
        <f t="shared" si="18"/>
        <v>25194.56951119221</v>
      </c>
    </row>
    <row r="183" spans="1:12" ht="15.6" customHeight="1" x14ac:dyDescent="0.3">
      <c r="A183" s="286" t="str">
        <f t="shared" si="13"/>
        <v>5480 Bremen Public Schools</v>
      </c>
      <c r="B183" s="307" t="s">
        <v>2308</v>
      </c>
      <c r="C183" s="308" t="s">
        <v>308</v>
      </c>
      <c r="D183" s="309">
        <v>125</v>
      </c>
      <c r="E183" s="310">
        <f t="shared" si="14"/>
        <v>7.638719139574676E-4</v>
      </c>
      <c r="F183" s="311">
        <f t="shared" si="15"/>
        <v>21194.699346736739</v>
      </c>
      <c r="G183" s="312">
        <f>VLOOKUP(B183,'[1]Step 4 Final Title II FY20'!A183:Q580,15,FALSE)</f>
        <v>-4950.1329383706543</v>
      </c>
      <c r="H183" s="313">
        <v>1780</v>
      </c>
      <c r="I183" s="310">
        <f t="shared" si="16"/>
        <v>1.5510522756899568E-3</v>
      </c>
      <c r="J183" s="311">
        <f t="shared" si="17"/>
        <v>10759.031080226001</v>
      </c>
      <c r="K183" s="312">
        <f>VLOOKUP(B183,'[1]Step 4 Final Title II FY20'!A183:Q580,16,FALSE)</f>
        <v>-19.635884006871493</v>
      </c>
      <c r="L183" s="314">
        <f t="shared" si="18"/>
        <v>26983.961604585216</v>
      </c>
    </row>
    <row r="184" spans="1:12" ht="15.6" customHeight="1" x14ac:dyDescent="0.3">
      <c r="A184" s="286" t="str">
        <f t="shared" si="13"/>
        <v>5485 Plymouth Community School Corp</v>
      </c>
      <c r="B184" s="307" t="s">
        <v>2309</v>
      </c>
      <c r="C184" s="308" t="s">
        <v>309</v>
      </c>
      <c r="D184" s="309">
        <v>476</v>
      </c>
      <c r="E184" s="310">
        <f t="shared" si="14"/>
        <v>2.9088242483500367E-3</v>
      </c>
      <c r="F184" s="311">
        <f t="shared" si="15"/>
        <v>80709.415112373506</v>
      </c>
      <c r="G184" s="312">
        <f>VLOOKUP(B184,'[1]Step 4 Final Title II FY20'!A184:Q581,15,FALSE)</f>
        <v>-10682.152771806286</v>
      </c>
      <c r="H184" s="313">
        <v>3336</v>
      </c>
      <c r="I184" s="310">
        <f t="shared" si="16"/>
        <v>2.9069159503942112E-3</v>
      </c>
      <c r="J184" s="311">
        <f t="shared" si="17"/>
        <v>20164.116676198842</v>
      </c>
      <c r="K184" s="312">
        <f>VLOOKUP(B184,'[1]Step 4 Final Title II FY20'!A184:Q581,16,FALSE)</f>
        <v>-121.00891045835306</v>
      </c>
      <c r="L184" s="314">
        <f t="shared" si="18"/>
        <v>90070.370106307702</v>
      </c>
    </row>
    <row r="185" spans="1:12" ht="15.6" customHeight="1" x14ac:dyDescent="0.3">
      <c r="A185" s="286" t="str">
        <f t="shared" si="13"/>
        <v>5495 Triton School Corporation</v>
      </c>
      <c r="B185" s="307" t="s">
        <v>2310</v>
      </c>
      <c r="C185" s="308" t="s">
        <v>310</v>
      </c>
      <c r="D185" s="309">
        <v>108</v>
      </c>
      <c r="E185" s="310">
        <f t="shared" si="14"/>
        <v>6.5998533365925201E-4</v>
      </c>
      <c r="F185" s="311">
        <f t="shared" si="15"/>
        <v>18312.220235580542</v>
      </c>
      <c r="G185" s="312">
        <f>VLOOKUP(B185,'[1]Step 4 Final Title II FY20'!A185:Q582,15,FALSE)</f>
        <v>-1520.4397236228797</v>
      </c>
      <c r="H185" s="313">
        <v>1166</v>
      </c>
      <c r="I185" s="310">
        <f t="shared" si="16"/>
        <v>1.0160263783452188E-3</v>
      </c>
      <c r="J185" s="311">
        <f t="shared" si="17"/>
        <v>7047.7697974963567</v>
      </c>
      <c r="K185" s="312">
        <f>VLOOKUP(B185,'[1]Step 4 Final Title II FY20'!A185:Q582,16,FALSE)</f>
        <v>-59.568791245732427</v>
      </c>
      <c r="L185" s="314">
        <f t="shared" si="18"/>
        <v>23779.981518208286</v>
      </c>
    </row>
    <row r="186" spans="1:12" ht="15.6" customHeight="1" x14ac:dyDescent="0.3">
      <c r="A186" s="286" t="str">
        <f t="shared" si="13"/>
        <v>5520 Shoals Community School Corp</v>
      </c>
      <c r="B186" s="307" t="s">
        <v>2311</v>
      </c>
      <c r="C186" s="308" t="s">
        <v>311</v>
      </c>
      <c r="D186" s="309">
        <v>107</v>
      </c>
      <c r="E186" s="310">
        <f t="shared" si="14"/>
        <v>6.538743583475923E-4</v>
      </c>
      <c r="F186" s="311">
        <f t="shared" si="15"/>
        <v>18142.662640806651</v>
      </c>
      <c r="G186" s="312">
        <f>VLOOKUP(B186,'[1]Step 4 Final Title II FY20'!A186:Q583,15,FALSE)</f>
        <v>-1508.1613941228206</v>
      </c>
      <c r="H186" s="313">
        <v>692</v>
      </c>
      <c r="I186" s="310">
        <f t="shared" si="16"/>
        <v>6.0299335661654502E-4</v>
      </c>
      <c r="J186" s="311">
        <f t="shared" si="17"/>
        <v>4182.7244424249393</v>
      </c>
      <c r="K186" s="312">
        <f>VLOOKUP(B186,'[1]Step 4 Final Title II FY20'!A186:Q583,16,FALSE)</f>
        <v>133.27788310811138</v>
      </c>
      <c r="L186" s="314">
        <f t="shared" si="18"/>
        <v>20950.503572216883</v>
      </c>
    </row>
    <row r="187" spans="1:12" ht="15.6" customHeight="1" x14ac:dyDescent="0.3">
      <c r="A187" s="286" t="str">
        <f t="shared" si="13"/>
        <v>5525 Loogootee Community Sch Corp</v>
      </c>
      <c r="B187" s="307" t="s">
        <v>2312</v>
      </c>
      <c r="C187" s="308" t="s">
        <v>312</v>
      </c>
      <c r="D187" s="309">
        <v>111</v>
      </c>
      <c r="E187" s="310">
        <f t="shared" si="14"/>
        <v>6.7831825959423122E-4</v>
      </c>
      <c r="F187" s="311">
        <f t="shared" si="15"/>
        <v>18820.893019902225</v>
      </c>
      <c r="G187" s="312">
        <f>VLOOKUP(B187,'[1]Step 4 Final Title II FY20'!A187:Q584,15,FALSE)</f>
        <v>-530.37447000957764</v>
      </c>
      <c r="H187" s="313">
        <v>982</v>
      </c>
      <c r="I187" s="310">
        <f t="shared" si="16"/>
        <v>8.5569288467839198E-4</v>
      </c>
      <c r="J187" s="311">
        <f t="shared" si="17"/>
        <v>5935.6002925741195</v>
      </c>
      <c r="K187" s="312">
        <f>VLOOKUP(B187,'[1]Step 4 Final Title II FY20'!A187:Q584,16,FALSE)</f>
        <v>202.60784390350636</v>
      </c>
      <c r="L187" s="314">
        <f t="shared" si="18"/>
        <v>24428.726686370275</v>
      </c>
    </row>
    <row r="188" spans="1:12" ht="15.6" customHeight="1" x14ac:dyDescent="0.3">
      <c r="A188" s="286" t="str">
        <f t="shared" si="13"/>
        <v>5615 Maconaquah School Corp</v>
      </c>
      <c r="B188" s="307" t="s">
        <v>2313</v>
      </c>
      <c r="C188" s="308" t="s">
        <v>313</v>
      </c>
      <c r="D188" s="309">
        <v>350</v>
      </c>
      <c r="E188" s="310">
        <f t="shared" si="14"/>
        <v>2.1388413590809094E-3</v>
      </c>
      <c r="F188" s="311">
        <f t="shared" si="15"/>
        <v>59345.158170862873</v>
      </c>
      <c r="G188" s="312">
        <f>VLOOKUP(B188,'[1]Step 4 Final Title II FY20'!A188:Q585,15,FALSE)</f>
        <v>-5703.3703979354977</v>
      </c>
      <c r="H188" s="313">
        <v>2112</v>
      </c>
      <c r="I188" s="310">
        <f t="shared" si="16"/>
        <v>1.8403496664366229E-3</v>
      </c>
      <c r="J188" s="311">
        <f t="shared" si="17"/>
        <v>12765.771708672648</v>
      </c>
      <c r="K188" s="312">
        <f>VLOOKUP(B188,'[1]Step 4 Final Title II FY20'!A188:Q585,16,FALSE)</f>
        <v>-373.31455328535412</v>
      </c>
      <c r="L188" s="314">
        <f t="shared" si="18"/>
        <v>66034.244928314671</v>
      </c>
    </row>
    <row r="189" spans="1:12" ht="15.6" customHeight="1" x14ac:dyDescent="0.3">
      <c r="A189" s="286" t="str">
        <f t="shared" si="13"/>
        <v>5620 North Miami Community Schools</v>
      </c>
      <c r="B189" s="307" t="s">
        <v>2314</v>
      </c>
      <c r="C189" s="308" t="s">
        <v>314</v>
      </c>
      <c r="D189" s="309">
        <v>106</v>
      </c>
      <c r="E189" s="310">
        <f t="shared" si="14"/>
        <v>6.4776338303593249E-4</v>
      </c>
      <c r="F189" s="311">
        <f t="shared" si="15"/>
        <v>17973.105046032753</v>
      </c>
      <c r="G189" s="312">
        <f>VLOOKUP(B189,'[1]Step 4 Final Title II FY20'!A189:Q586,15,FALSE)</f>
        <v>-3253.7038252468665</v>
      </c>
      <c r="H189" s="313">
        <v>1029</v>
      </c>
      <c r="I189" s="310">
        <f t="shared" si="16"/>
        <v>8.9664763577807058E-4</v>
      </c>
      <c r="J189" s="311">
        <f t="shared" si="17"/>
        <v>6219.6870682879526</v>
      </c>
      <c r="K189" s="312">
        <f>VLOOKUP(B189,'[1]Step 4 Final Title II FY20'!A189:Q586,16,FALSE)</f>
        <v>-193.55474613445676</v>
      </c>
      <c r="L189" s="314">
        <f t="shared" si="18"/>
        <v>20745.533542939382</v>
      </c>
    </row>
    <row r="190" spans="1:12" ht="15.6" customHeight="1" x14ac:dyDescent="0.3">
      <c r="A190" s="286" t="str">
        <f t="shared" si="13"/>
        <v>5625 Oak Hill United School Corp</v>
      </c>
      <c r="B190" s="307" t="s">
        <v>2315</v>
      </c>
      <c r="C190" s="308" t="s">
        <v>315</v>
      </c>
      <c r="D190" s="309">
        <v>150</v>
      </c>
      <c r="E190" s="310">
        <f t="shared" si="14"/>
        <v>9.1664629674896114E-4</v>
      </c>
      <c r="F190" s="311">
        <f t="shared" si="15"/>
        <v>25433.639216084088</v>
      </c>
      <c r="G190" s="312">
        <f>VLOOKUP(B190,'[1]Step 4 Final Title II FY20'!A190:Q587,15,FALSE)</f>
        <v>-1678.5648618264349</v>
      </c>
      <c r="H190" s="313">
        <v>1258</v>
      </c>
      <c r="I190" s="310">
        <f t="shared" si="16"/>
        <v>1.0961931251786325E-3</v>
      </c>
      <c r="J190" s="311">
        <f t="shared" si="17"/>
        <v>7603.8545499574775</v>
      </c>
      <c r="K190" s="312">
        <f>VLOOKUP(B190,'[1]Step 4 Final Title II FY20'!A190:Q587,16,FALSE)</f>
        <v>-124.70217386207878</v>
      </c>
      <c r="L190" s="314">
        <f t="shared" si="18"/>
        <v>31234.22673035305</v>
      </c>
    </row>
    <row r="191" spans="1:12" ht="15.6" customHeight="1" x14ac:dyDescent="0.3">
      <c r="A191" s="286" t="str">
        <f t="shared" si="13"/>
        <v>5635 Peru Community Schools</v>
      </c>
      <c r="B191" s="307" t="s">
        <v>2316</v>
      </c>
      <c r="C191" s="308" t="s">
        <v>316</v>
      </c>
      <c r="D191" s="309">
        <v>425</v>
      </c>
      <c r="E191" s="310">
        <f t="shared" si="14"/>
        <v>2.5971645074553897E-3</v>
      </c>
      <c r="F191" s="311">
        <f t="shared" si="15"/>
        <v>72061.977778904911</v>
      </c>
      <c r="G191" s="312">
        <f>VLOOKUP(B191,'[1]Step 4 Final Title II FY20'!A191:Q588,15,FALSE)</f>
        <v>-4258.4537098670844</v>
      </c>
      <c r="H191" s="313">
        <v>2096</v>
      </c>
      <c r="I191" s="310">
        <f t="shared" si="16"/>
        <v>1.8264076235090729E-3</v>
      </c>
      <c r="J191" s="311">
        <f t="shared" si="17"/>
        <v>12669.06131694028</v>
      </c>
      <c r="K191" s="312">
        <f>VLOOKUP(B191,'[1]Step 4 Final Title II FY20'!A191:Q588,16,FALSE)</f>
        <v>-446.19471288209388</v>
      </c>
      <c r="L191" s="314">
        <f t="shared" si="18"/>
        <v>80026.390673096015</v>
      </c>
    </row>
    <row r="192" spans="1:12" ht="15.6" customHeight="1" x14ac:dyDescent="0.3">
      <c r="A192" s="286" t="str">
        <f t="shared" si="13"/>
        <v>5705 Richland-Bean Blossom C S C</v>
      </c>
      <c r="B192" s="307" t="s">
        <v>2317</v>
      </c>
      <c r="C192" s="308" t="s">
        <v>317</v>
      </c>
      <c r="D192" s="309">
        <v>360</v>
      </c>
      <c r="E192" s="310">
        <f t="shared" si="14"/>
        <v>2.1999511121975068E-3</v>
      </c>
      <c r="F192" s="311">
        <f t="shared" si="15"/>
        <v>61040.734118601817</v>
      </c>
      <c r="G192" s="312">
        <f>VLOOKUP(B192,'[1]Step 4 Final Title II FY20'!A192:Q589,15,FALSE)</f>
        <v>-1021.1209906203148</v>
      </c>
      <c r="H192" s="313">
        <v>3146</v>
      </c>
      <c r="I192" s="310">
        <f t="shared" si="16"/>
        <v>2.741354190629553E-3</v>
      </c>
      <c r="J192" s="311">
        <f t="shared" si="17"/>
        <v>19015.680774376968</v>
      </c>
      <c r="K192" s="312">
        <f>VLOOKUP(B192,'[1]Step 4 Final Title II FY20'!A192:Q589,16,FALSE)</f>
        <v>-150.81920016042204</v>
      </c>
      <c r="L192" s="314">
        <f t="shared" si="18"/>
        <v>78884.474702198058</v>
      </c>
    </row>
    <row r="193" spans="1:12" ht="15.6" customHeight="1" x14ac:dyDescent="0.3">
      <c r="A193" s="286" t="str">
        <f t="shared" si="13"/>
        <v>5740 Monroe County Community Sch Corp</v>
      </c>
      <c r="B193" s="307" t="s">
        <v>2318</v>
      </c>
      <c r="C193" s="308" t="s">
        <v>2319</v>
      </c>
      <c r="D193" s="309">
        <v>1740</v>
      </c>
      <c r="E193" s="310">
        <f t="shared" si="14"/>
        <v>1.0633097042287949E-2</v>
      </c>
      <c r="F193" s="311">
        <f t="shared" si="15"/>
        <v>295030.21490657539</v>
      </c>
      <c r="G193" s="312">
        <f>VLOOKUP(B193,'[1]Step 4 Final Title II FY20'!A193:Q590,15,FALSE)</f>
        <v>-38214.358846106741</v>
      </c>
      <c r="H193" s="313">
        <v>12926</v>
      </c>
      <c r="I193" s="310">
        <f t="shared" si="16"/>
        <v>1.1263427930094596E-2</v>
      </c>
      <c r="J193" s="311">
        <f t="shared" si="17"/>
        <v>78129.907720787232</v>
      </c>
      <c r="K193" s="312">
        <f>VLOOKUP(B193,'[1]Step 4 Final Title II FY20'!A193:Q590,16,FALSE)</f>
        <v>-1697.1872663734393</v>
      </c>
      <c r="L193" s="314">
        <f t="shared" si="18"/>
        <v>333248.57651488244</v>
      </c>
    </row>
    <row r="194" spans="1:12" ht="15.6" customHeight="1" x14ac:dyDescent="0.3">
      <c r="A194" s="286" t="str">
        <f t="shared" si="13"/>
        <v>5835 North Montgomery Com Sch Corp</v>
      </c>
      <c r="B194" s="307" t="s">
        <v>2320</v>
      </c>
      <c r="C194" s="308" t="s">
        <v>318</v>
      </c>
      <c r="D194" s="309">
        <v>227</v>
      </c>
      <c r="E194" s="310">
        <f t="shared" si="14"/>
        <v>1.3871913957467612E-3</v>
      </c>
      <c r="F194" s="311">
        <f t="shared" si="15"/>
        <v>38489.574013673919</v>
      </c>
      <c r="G194" s="312">
        <f>VLOOKUP(B194,'[1]Step 4 Final Title II FY20'!A194:Q591,15,FALSE)</f>
        <v>-1289.1978513716967</v>
      </c>
      <c r="H194" s="313">
        <v>2137</v>
      </c>
      <c r="I194" s="310">
        <f t="shared" si="16"/>
        <v>1.8621341085109202E-3</v>
      </c>
      <c r="J194" s="311">
        <f t="shared" si="17"/>
        <v>12916.881695754475</v>
      </c>
      <c r="K194" s="312">
        <f>VLOOKUP(B194,'[1]Step 4 Final Title II FY20'!A194:Q591,16,FALSE)</f>
        <v>17.465998269930424</v>
      </c>
      <c r="L194" s="314">
        <f t="shared" si="18"/>
        <v>50134.723856326629</v>
      </c>
    </row>
    <row r="195" spans="1:12" ht="15.6" customHeight="1" x14ac:dyDescent="0.3">
      <c r="A195" s="286" t="str">
        <f t="shared" si="13"/>
        <v>5845 South Montgomery Com Sch Corp</v>
      </c>
      <c r="B195" s="307" t="s">
        <v>2321</v>
      </c>
      <c r="C195" s="308" t="s">
        <v>319</v>
      </c>
      <c r="D195" s="309">
        <v>273</v>
      </c>
      <c r="E195" s="310">
        <f t="shared" si="14"/>
        <v>1.6682962600831092E-3</v>
      </c>
      <c r="F195" s="311">
        <f t="shared" si="15"/>
        <v>46289.223373273038</v>
      </c>
      <c r="G195" s="312">
        <f>VLOOKUP(B195,'[1]Step 4 Final Title II FY20'!A195:Q592,15,FALSE)</f>
        <v>2011.0196606726677</v>
      </c>
      <c r="H195" s="313">
        <v>1900</v>
      </c>
      <c r="I195" s="310">
        <f t="shared" si="16"/>
        <v>1.6556175976465831E-3</v>
      </c>
      <c r="J195" s="311">
        <f t="shared" si="17"/>
        <v>11484.359018218765</v>
      </c>
      <c r="K195" s="312">
        <f>VLOOKUP(B195,'[1]Step 4 Final Title II FY20'!A195:Q592,16,FALSE)</f>
        <v>14.868116540043047</v>
      </c>
      <c r="L195" s="314">
        <f t="shared" si="18"/>
        <v>59799.470168704509</v>
      </c>
    </row>
    <row r="196" spans="1:12" ht="15.6" customHeight="1" x14ac:dyDescent="0.3">
      <c r="A196" s="286" t="str">
        <f t="shared" si="13"/>
        <v>5855 Crawfordsville Community Schools</v>
      </c>
      <c r="B196" s="307" t="s">
        <v>2322</v>
      </c>
      <c r="C196" s="308" t="s">
        <v>2323</v>
      </c>
      <c r="D196" s="309">
        <v>521</v>
      </c>
      <c r="E196" s="310">
        <f t="shared" si="14"/>
        <v>3.183818137374725E-3</v>
      </c>
      <c r="F196" s="311">
        <f t="shared" si="15"/>
        <v>88339.506877198728</v>
      </c>
      <c r="G196" s="312">
        <f>VLOOKUP(B196,'[1]Step 4 Final Title II FY20'!A196:Q593,15,FALSE)</f>
        <v>-8211.8289869216678</v>
      </c>
      <c r="H196" s="313">
        <v>2355</v>
      </c>
      <c r="I196" s="310">
        <f t="shared" si="16"/>
        <v>2.0520944433987912E-3</v>
      </c>
      <c r="J196" s="311">
        <f t="shared" si="17"/>
        <v>14234.560783107994</v>
      </c>
      <c r="K196" s="312">
        <f>VLOOKUP(B196,'[1]Step 4 Final Title II FY20'!A196:Q593,16,FALSE)</f>
        <v>-13.252200268896559</v>
      </c>
      <c r="L196" s="314">
        <f t="shared" si="18"/>
        <v>94348.986473116165</v>
      </c>
    </row>
    <row r="197" spans="1:12" ht="15.6" customHeight="1" x14ac:dyDescent="0.3">
      <c r="A197" s="286" t="str">
        <f t="shared" si="13"/>
        <v>5900 Monroe-Gregg School District</v>
      </c>
      <c r="B197" s="307" t="s">
        <v>2324</v>
      </c>
      <c r="C197" s="308" t="s">
        <v>320</v>
      </c>
      <c r="D197" s="309">
        <v>98</v>
      </c>
      <c r="E197" s="310">
        <f t="shared" si="14"/>
        <v>5.9887558054265465E-4</v>
      </c>
      <c r="F197" s="311">
        <f t="shared" si="15"/>
        <v>16616.644287841606</v>
      </c>
      <c r="G197" s="312">
        <f>VLOOKUP(B197,'[1]Step 4 Final Title II FY20'!A197:Q594,15,FALSE)</f>
        <v>-3695.5303575532453</v>
      </c>
      <c r="H197" s="313">
        <v>1353</v>
      </c>
      <c r="I197" s="310">
        <f t="shared" si="16"/>
        <v>1.1789740050609616E-3</v>
      </c>
      <c r="J197" s="311">
        <f t="shared" si="17"/>
        <v>8178.0725008684149</v>
      </c>
      <c r="K197" s="312">
        <f>VLOOKUP(B197,'[1]Step 4 Final Title II FY20'!A197:Q594,16,FALSE)</f>
        <v>-70.754746440728923</v>
      </c>
      <c r="L197" s="314">
        <f t="shared" si="18"/>
        <v>21028.431684716048</v>
      </c>
    </row>
    <row r="198" spans="1:12" ht="15.6" customHeight="1" x14ac:dyDescent="0.3">
      <c r="A198" s="286" t="str">
        <f t="shared" si="13"/>
        <v>5910 Eminence Community School Corp</v>
      </c>
      <c r="B198" s="307" t="s">
        <v>2325</v>
      </c>
      <c r="C198" s="308" t="s">
        <v>321</v>
      </c>
      <c r="D198" s="309">
        <v>42</v>
      </c>
      <c r="E198" s="310">
        <f t="shared" si="14"/>
        <v>2.5666096308970914E-4</v>
      </c>
      <c r="F198" s="311">
        <f t="shared" si="15"/>
        <v>7121.4189805035448</v>
      </c>
      <c r="G198" s="312">
        <f>VLOOKUP(B198,'[1]Step 4 Final Title II FY20'!A198:Q595,15,FALSE)</f>
        <v>-1494.5832490213816</v>
      </c>
      <c r="H198" s="313">
        <v>499</v>
      </c>
      <c r="I198" s="310">
        <f t="shared" si="16"/>
        <v>4.3481746380297107E-4</v>
      </c>
      <c r="J198" s="311">
        <f t="shared" si="17"/>
        <v>3016.155342153244</v>
      </c>
      <c r="K198" s="312">
        <f>VLOOKUP(B198,'[1]Step 4 Final Title II FY20'!A198:Q595,16,FALSE)</f>
        <v>-34.101866460054225</v>
      </c>
      <c r="L198" s="314">
        <f t="shared" si="18"/>
        <v>8608.8892071753526</v>
      </c>
    </row>
    <row r="199" spans="1:12" ht="15.6" customHeight="1" x14ac:dyDescent="0.3">
      <c r="A199" s="286" t="str">
        <f t="shared" ref="A199:A262" si="19">B199&amp;" "&amp;C199</f>
        <v>5925 MSD Martinsville Schools</v>
      </c>
      <c r="B199" s="307" t="s">
        <v>2326</v>
      </c>
      <c r="C199" s="308" t="s">
        <v>2327</v>
      </c>
      <c r="D199" s="309">
        <v>680</v>
      </c>
      <c r="E199" s="310">
        <f t="shared" ref="E199:E262" si="20">D199/$D$5</f>
        <v>4.1554632119286238E-3</v>
      </c>
      <c r="F199" s="311">
        <f t="shared" ref="F199:F262" si="21">E199*$F$2</f>
        <v>115299.16444624786</v>
      </c>
      <c r="G199" s="312">
        <f>VLOOKUP(B199,'[1]Step 4 Final Title II FY20'!A199:Q596,15,FALSE)</f>
        <v>20842.916691521546</v>
      </c>
      <c r="H199" s="313">
        <v>5018</v>
      </c>
      <c r="I199" s="310">
        <f t="shared" ref="I199:I262" si="22">H199/$H$5</f>
        <v>4.3725732131529235E-3</v>
      </c>
      <c r="J199" s="311">
        <f t="shared" ref="J199:J262" si="23">I199*$J$2</f>
        <v>30330.796607064087</v>
      </c>
      <c r="K199" s="312">
        <f>VLOOKUP(B199,'[1]Step 4 Final Title II FY20'!A199:Q596,16,FALSE)</f>
        <v>-386.9972738679935</v>
      </c>
      <c r="L199" s="314">
        <f t="shared" ref="L199:L262" si="24">F199+G199+J199+K199</f>
        <v>166085.88047096547</v>
      </c>
    </row>
    <row r="200" spans="1:12" ht="15.6" customHeight="1" x14ac:dyDescent="0.3">
      <c r="A200" s="286" t="str">
        <f t="shared" si="19"/>
        <v>5930 Mooresville Con School Corp</v>
      </c>
      <c r="B200" s="307" t="s">
        <v>2328</v>
      </c>
      <c r="C200" s="308" t="s">
        <v>322</v>
      </c>
      <c r="D200" s="309">
        <v>482</v>
      </c>
      <c r="E200" s="310">
        <f t="shared" si="20"/>
        <v>2.9454901002199953E-3</v>
      </c>
      <c r="F200" s="311">
        <f t="shared" si="21"/>
        <v>81726.76068101688</v>
      </c>
      <c r="G200" s="312">
        <f>VLOOKUP(B200,'[1]Step 4 Final Title II FY20'!A200:Q597,15,FALSE)</f>
        <v>16846.373931520851</v>
      </c>
      <c r="H200" s="313">
        <v>4208</v>
      </c>
      <c r="I200" s="310">
        <f t="shared" si="22"/>
        <v>3.6667572899456956E-3</v>
      </c>
      <c r="J200" s="311">
        <f t="shared" si="23"/>
        <v>25434.833025612927</v>
      </c>
      <c r="K200" s="312">
        <f>VLOOKUP(B200,'[1]Step 4 Final Title II FY20'!A200:Q597,16,FALSE)</f>
        <v>-402.70422691818385</v>
      </c>
      <c r="L200" s="314">
        <f t="shared" si="24"/>
        <v>123605.26341123247</v>
      </c>
    </row>
    <row r="201" spans="1:12" ht="15.6" customHeight="1" x14ac:dyDescent="0.3">
      <c r="A201" s="286" t="str">
        <f t="shared" si="19"/>
        <v>5945 North Newton School Corp</v>
      </c>
      <c r="B201" s="307" t="s">
        <v>2329</v>
      </c>
      <c r="C201" s="308" t="s">
        <v>323</v>
      </c>
      <c r="D201" s="309">
        <v>139</v>
      </c>
      <c r="E201" s="310">
        <f t="shared" si="20"/>
        <v>8.4942556832070398E-4</v>
      </c>
      <c r="F201" s="311">
        <f t="shared" si="21"/>
        <v>23568.505673571253</v>
      </c>
      <c r="G201" s="312">
        <f>VLOOKUP(B201,'[1]Step 4 Final Title II FY20'!A201:Q598,15,FALSE)</f>
        <v>-1721.539015076658</v>
      </c>
      <c r="H201" s="313">
        <v>1385</v>
      </c>
      <c r="I201" s="310">
        <f t="shared" si="22"/>
        <v>1.2068580909160619E-3</v>
      </c>
      <c r="J201" s="311">
        <f t="shared" si="23"/>
        <v>8371.4932843331517</v>
      </c>
      <c r="K201" s="312">
        <f>VLOOKUP(B201,'[1]Step 4 Final Title II FY20'!A201:Q598,16,FALSE)</f>
        <v>-341.499710912296</v>
      </c>
      <c r="L201" s="314">
        <f t="shared" si="24"/>
        <v>29876.960231915451</v>
      </c>
    </row>
    <row r="202" spans="1:12" ht="15.6" customHeight="1" x14ac:dyDescent="0.3">
      <c r="A202" s="286" t="str">
        <f t="shared" si="19"/>
        <v>5995 South Newton School Corp</v>
      </c>
      <c r="B202" s="307" t="s">
        <v>2330</v>
      </c>
      <c r="C202" s="308" t="s">
        <v>324</v>
      </c>
      <c r="D202" s="309">
        <v>126</v>
      </c>
      <c r="E202" s="310">
        <f t="shared" si="20"/>
        <v>7.699828892691273E-4</v>
      </c>
      <c r="F202" s="311">
        <f t="shared" si="21"/>
        <v>21364.256941510634</v>
      </c>
      <c r="G202" s="312">
        <f>VLOOKUP(B202,'[1]Step 4 Final Title II FY20'!A202:Q599,15,FALSE)</f>
        <v>-5267.8763600750281</v>
      </c>
      <c r="H202" s="313">
        <v>783</v>
      </c>
      <c r="I202" s="310">
        <f t="shared" si="22"/>
        <v>6.8228872576698663E-4</v>
      </c>
      <c r="J202" s="311">
        <f t="shared" si="23"/>
        <v>4732.7647954027852</v>
      </c>
      <c r="K202" s="312">
        <f>VLOOKUP(B202,'[1]Step 4 Final Title II FY20'!A202:Q599,16,FALSE)</f>
        <v>-182.97940416657002</v>
      </c>
      <c r="L202" s="314">
        <f t="shared" si="24"/>
        <v>20646.165972671821</v>
      </c>
    </row>
    <row r="203" spans="1:12" ht="15.6" customHeight="1" x14ac:dyDescent="0.3">
      <c r="A203" s="286" t="str">
        <f t="shared" si="19"/>
        <v>6055 Central Noble Com School Corp</v>
      </c>
      <c r="B203" s="307" t="s">
        <v>2331</v>
      </c>
      <c r="C203" s="308" t="s">
        <v>325</v>
      </c>
      <c r="D203" s="309">
        <v>126</v>
      </c>
      <c r="E203" s="310">
        <f t="shared" si="20"/>
        <v>7.699828892691273E-4</v>
      </c>
      <c r="F203" s="311">
        <f t="shared" si="21"/>
        <v>21364.256941510634</v>
      </c>
      <c r="G203" s="312">
        <f>VLOOKUP(B203,'[1]Step 4 Final Title II FY20'!A203:Q600,15,FALSE)</f>
        <v>-4948.0865501206463</v>
      </c>
      <c r="H203" s="313">
        <v>1409</v>
      </c>
      <c r="I203" s="310">
        <f t="shared" si="22"/>
        <v>1.2277711553073873E-3</v>
      </c>
      <c r="J203" s="311">
        <f t="shared" si="23"/>
        <v>8516.5588719317057</v>
      </c>
      <c r="K203" s="312">
        <f>VLOOKUP(B203,'[1]Step 4 Final Title II FY20'!A203:Q600,16,FALSE)</f>
        <v>-129.65123205644159</v>
      </c>
      <c r="L203" s="314">
        <f t="shared" si="24"/>
        <v>24803.07803126525</v>
      </c>
    </row>
    <row r="204" spans="1:12" ht="15.6" customHeight="1" x14ac:dyDescent="0.3">
      <c r="A204" s="286" t="str">
        <f t="shared" si="19"/>
        <v>6060 East Noble School Corporation</v>
      </c>
      <c r="B204" s="307" t="s">
        <v>2332</v>
      </c>
      <c r="C204" s="308" t="s">
        <v>2333</v>
      </c>
      <c r="D204" s="309">
        <v>421</v>
      </c>
      <c r="E204" s="310">
        <f t="shared" si="20"/>
        <v>2.5727206062087509E-3</v>
      </c>
      <c r="F204" s="311">
        <f t="shared" si="21"/>
        <v>71383.747399809334</v>
      </c>
      <c r="G204" s="312">
        <f>VLOOKUP(B204,'[1]Step 4 Final Title II FY20'!A204:Q601,15,FALSE)</f>
        <v>-12381.374845828715</v>
      </c>
      <c r="H204" s="313">
        <v>3865</v>
      </c>
      <c r="I204" s="310">
        <f t="shared" si="22"/>
        <v>3.3678747446863389E-3</v>
      </c>
      <c r="J204" s="311">
        <f t="shared" si="23"/>
        <v>23361.604002850276</v>
      </c>
      <c r="K204" s="312">
        <f>VLOOKUP(B204,'[1]Step 4 Final Title II FY20'!A204:Q601,16,FALSE)</f>
        <v>-446.09851648899348</v>
      </c>
      <c r="L204" s="314">
        <f t="shared" si="24"/>
        <v>81917.878040341893</v>
      </c>
    </row>
    <row r="205" spans="1:12" ht="15.6" customHeight="1" x14ac:dyDescent="0.3">
      <c r="A205" s="286" t="str">
        <f t="shared" si="19"/>
        <v>6065 West Noble School Corporation</v>
      </c>
      <c r="B205" s="307" t="s">
        <v>2334</v>
      </c>
      <c r="C205" s="308" t="s">
        <v>326</v>
      </c>
      <c r="D205" s="309">
        <v>273</v>
      </c>
      <c r="E205" s="310">
        <f t="shared" si="20"/>
        <v>1.6682962600831092E-3</v>
      </c>
      <c r="F205" s="311">
        <f t="shared" si="21"/>
        <v>46289.223373273038</v>
      </c>
      <c r="G205" s="312">
        <f>VLOOKUP(B205,'[1]Step 4 Final Title II FY20'!A205:Q602,15,FALSE)</f>
        <v>-5885.498952186419</v>
      </c>
      <c r="H205" s="313">
        <v>2658</v>
      </c>
      <c r="I205" s="310">
        <f t="shared" si="22"/>
        <v>2.3161218813392728E-3</v>
      </c>
      <c r="J205" s="311">
        <f t="shared" si="23"/>
        <v>16066.013826539725</v>
      </c>
      <c r="K205" s="312">
        <f>VLOOKUP(B205,'[1]Step 4 Final Title II FY20'!A205:Q602,16,FALSE)</f>
        <v>-274.48516043078416</v>
      </c>
      <c r="L205" s="314">
        <f t="shared" si="24"/>
        <v>56195.253087195561</v>
      </c>
    </row>
    <row r="206" spans="1:12" ht="15.6" customHeight="1" x14ac:dyDescent="0.3">
      <c r="A206" s="286" t="str">
        <f t="shared" si="19"/>
        <v>6080 Rising Sun-Ohio Co Com</v>
      </c>
      <c r="B206" s="307" t="s">
        <v>2335</v>
      </c>
      <c r="C206" s="308" t="s">
        <v>327</v>
      </c>
      <c r="D206" s="309">
        <v>114</v>
      </c>
      <c r="E206" s="310">
        <f t="shared" si="20"/>
        <v>6.9665118552921044E-4</v>
      </c>
      <c r="F206" s="311">
        <f t="shared" si="21"/>
        <v>19329.565804223905</v>
      </c>
      <c r="G206" s="312">
        <f>VLOOKUP(B206,'[1]Step 4 Final Title II FY20'!A206:Q603,15,FALSE)</f>
        <v>-1555.2283238730615</v>
      </c>
      <c r="H206" s="313">
        <v>838</v>
      </c>
      <c r="I206" s="310">
        <f t="shared" si="22"/>
        <v>7.3021449833044036E-4</v>
      </c>
      <c r="J206" s="311">
        <f t="shared" si="23"/>
        <v>5065.2067669828029</v>
      </c>
      <c r="K206" s="312">
        <f>VLOOKUP(B206,'[1]Step 4 Final Title II FY20'!A206:Q603,16,FALSE)</f>
        <v>68.799521953576914</v>
      </c>
      <c r="L206" s="314">
        <f t="shared" si="24"/>
        <v>22908.343769287221</v>
      </c>
    </row>
    <row r="207" spans="1:12" ht="15.6" customHeight="1" x14ac:dyDescent="0.3">
      <c r="A207" s="286" t="str">
        <f t="shared" si="19"/>
        <v>6145 Orleans Community Schools</v>
      </c>
      <c r="B207" s="307" t="s">
        <v>2336</v>
      </c>
      <c r="C207" s="308" t="s">
        <v>328</v>
      </c>
      <c r="D207" s="309">
        <v>178</v>
      </c>
      <c r="E207" s="310">
        <f t="shared" si="20"/>
        <v>1.0877536054754338E-3</v>
      </c>
      <c r="F207" s="311">
        <f t="shared" si="21"/>
        <v>30181.251869753116</v>
      </c>
      <c r="G207" s="312">
        <f>VLOOKUP(B207,'[1]Step 4 Final Title II FY20'!A207:Q604,15,FALSE)</f>
        <v>-908.76296656562772</v>
      </c>
      <c r="H207" s="313">
        <v>830</v>
      </c>
      <c r="I207" s="310">
        <f t="shared" si="22"/>
        <v>7.2324347686666523E-4</v>
      </c>
      <c r="J207" s="311">
        <f t="shared" si="23"/>
        <v>5016.8515711166183</v>
      </c>
      <c r="K207" s="312">
        <f>VLOOKUP(B207,'[1]Step 4 Final Title II FY20'!A207:Q604,16,FALSE)</f>
        <v>-10.59508611066758</v>
      </c>
      <c r="L207" s="314">
        <f t="shared" si="24"/>
        <v>34278.745388193434</v>
      </c>
    </row>
    <row r="208" spans="1:12" ht="15.6" customHeight="1" x14ac:dyDescent="0.3">
      <c r="A208" s="286" t="str">
        <f t="shared" si="19"/>
        <v>6155 Paoli Community School Corp</v>
      </c>
      <c r="B208" s="307" t="s">
        <v>2337</v>
      </c>
      <c r="C208" s="308" t="s">
        <v>329</v>
      </c>
      <c r="D208" s="309">
        <v>380</v>
      </c>
      <c r="E208" s="310">
        <f t="shared" si="20"/>
        <v>2.3221706184307018E-3</v>
      </c>
      <c r="F208" s="311">
        <f t="shared" si="21"/>
        <v>64431.886014079697</v>
      </c>
      <c r="G208" s="312">
        <f>VLOOKUP(B208,'[1]Step 4 Final Title II FY20'!A208:Q605,15,FALSE)</f>
        <v>4784.2089065588443</v>
      </c>
      <c r="H208" s="313">
        <v>1522</v>
      </c>
      <c r="I208" s="310">
        <f t="shared" si="22"/>
        <v>1.3262368334832104E-3</v>
      </c>
      <c r="J208" s="311">
        <f t="shared" si="23"/>
        <v>9199.5760135415585</v>
      </c>
      <c r="K208" s="312">
        <f>VLOOKUP(B208,'[1]Step 4 Final Title II FY20'!A208:Q605,16,FALSE)</f>
        <v>-35.973194426947884</v>
      </c>
      <c r="L208" s="314">
        <f t="shared" si="24"/>
        <v>78379.697739753159</v>
      </c>
    </row>
    <row r="209" spans="1:12" ht="15.6" customHeight="1" x14ac:dyDescent="0.3">
      <c r="A209" s="286" t="str">
        <f t="shared" si="19"/>
        <v>6160 Springs Valley Com School Corp</v>
      </c>
      <c r="B209" s="307" t="s">
        <v>2338</v>
      </c>
      <c r="C209" s="308" t="s">
        <v>330</v>
      </c>
      <c r="D209" s="309">
        <v>173</v>
      </c>
      <c r="E209" s="310">
        <f t="shared" si="20"/>
        <v>1.0571987289171353E-3</v>
      </c>
      <c r="F209" s="311">
        <f t="shared" si="21"/>
        <v>29333.463895883651</v>
      </c>
      <c r="G209" s="312">
        <f>VLOOKUP(B209,'[1]Step 4 Final Title II FY20'!A209:Q606,15,FALSE)</f>
        <v>-7280.0025066531816</v>
      </c>
      <c r="H209" s="313">
        <v>899</v>
      </c>
      <c r="I209" s="310">
        <f t="shared" si="22"/>
        <v>7.8336853699172539E-4</v>
      </c>
      <c r="J209" s="311">
        <f t="shared" si="23"/>
        <v>5433.9151354624573</v>
      </c>
      <c r="K209" s="312">
        <f>VLOOKUP(B209,'[1]Step 4 Final Title II FY20'!A209:Q606,16,FALSE)</f>
        <v>-16.443411057684898</v>
      </c>
      <c r="L209" s="314">
        <f t="shared" si="24"/>
        <v>27470.933113635241</v>
      </c>
    </row>
    <row r="210" spans="1:12" ht="15.6" customHeight="1" x14ac:dyDescent="0.3">
      <c r="A210" s="286" t="str">
        <f t="shared" si="19"/>
        <v>6195 Spencer-Owen Community Schools</v>
      </c>
      <c r="B210" s="307" t="s">
        <v>2339</v>
      </c>
      <c r="C210" s="308" t="s">
        <v>331</v>
      </c>
      <c r="D210" s="309">
        <v>446</v>
      </c>
      <c r="E210" s="310">
        <f t="shared" si="20"/>
        <v>2.7254949890002443E-3</v>
      </c>
      <c r="F210" s="311">
        <f t="shared" si="21"/>
        <v>75622.687269156682</v>
      </c>
      <c r="G210" s="312">
        <f>VLOOKUP(B210,'[1]Step 4 Final Title II FY20'!A210:Q607,15,FALSE)</f>
        <v>-11226.298716613193</v>
      </c>
      <c r="H210" s="313">
        <v>2622</v>
      </c>
      <c r="I210" s="310">
        <f t="shared" si="22"/>
        <v>2.2847522847522848E-3</v>
      </c>
      <c r="J210" s="311">
        <f t="shared" si="23"/>
        <v>15848.415445141896</v>
      </c>
      <c r="K210" s="312">
        <f>VLOOKUP(B210,'[1]Step 4 Final Title II FY20'!A210:Q607,16,FALSE)</f>
        <v>-149.10084104041016</v>
      </c>
      <c r="L210" s="314">
        <f t="shared" si="24"/>
        <v>80095.703156644973</v>
      </c>
    </row>
    <row r="211" spans="1:12" ht="15.6" customHeight="1" x14ac:dyDescent="0.3">
      <c r="A211" s="286" t="str">
        <f t="shared" si="19"/>
        <v>6260 Southwest Parke Com Sch Corp</v>
      </c>
      <c r="B211" s="307" t="s">
        <v>2340</v>
      </c>
      <c r="C211" s="308" t="s">
        <v>332</v>
      </c>
      <c r="D211" s="309">
        <v>146</v>
      </c>
      <c r="E211" s="310">
        <f t="shared" si="20"/>
        <v>8.9220239550232222E-4</v>
      </c>
      <c r="F211" s="311">
        <f t="shared" si="21"/>
        <v>24755.408836988514</v>
      </c>
      <c r="G211" s="312">
        <f>VLOOKUP(B211,'[1]Step 4 Final Title II FY20'!A211:Q608,15,FALSE)</f>
        <v>1488.6374139672407</v>
      </c>
      <c r="H211" s="313">
        <v>882</v>
      </c>
      <c r="I211" s="310">
        <f t="shared" si="22"/>
        <v>7.6855511638120337E-4</v>
      </c>
      <c r="J211" s="311">
        <f t="shared" si="23"/>
        <v>5331.1603442468167</v>
      </c>
      <c r="K211" s="312">
        <f>VLOOKUP(B211,'[1]Step 4 Final Title II FY20'!A211:Q608,16,FALSE)</f>
        <v>3.1998528728936435</v>
      </c>
      <c r="L211" s="314">
        <f t="shared" si="24"/>
        <v>31578.406448075468</v>
      </c>
    </row>
    <row r="212" spans="1:12" ht="15.6" customHeight="1" x14ac:dyDescent="0.3">
      <c r="A212" s="286" t="str">
        <f t="shared" si="19"/>
        <v>6325 Perry Central Com Schools Corp</v>
      </c>
      <c r="B212" s="307" t="s">
        <v>2341</v>
      </c>
      <c r="C212" s="308" t="s">
        <v>333</v>
      </c>
      <c r="D212" s="309">
        <v>107</v>
      </c>
      <c r="E212" s="310">
        <f t="shared" si="20"/>
        <v>6.538743583475923E-4</v>
      </c>
      <c r="F212" s="311">
        <f t="shared" si="21"/>
        <v>18142.662640806651</v>
      </c>
      <c r="G212" s="312">
        <f>VLOOKUP(B212,'[1]Step 4 Final Title II FY20'!A212:Q609,15,FALSE)</f>
        <v>1198.7968551143822</v>
      </c>
      <c r="H212" s="313">
        <v>1045</v>
      </c>
      <c r="I212" s="310">
        <f t="shared" si="22"/>
        <v>9.1058967870562074E-4</v>
      </c>
      <c r="J212" s="311">
        <f t="shared" si="23"/>
        <v>6316.397460020321</v>
      </c>
      <c r="K212" s="312">
        <f>VLOOKUP(B212,'[1]Step 4 Final Title II FY20'!A212:Q609,16,FALSE)</f>
        <v>78.089485089763002</v>
      </c>
      <c r="L212" s="314">
        <f t="shared" si="24"/>
        <v>25735.946441031119</v>
      </c>
    </row>
    <row r="213" spans="1:12" ht="15.6" customHeight="1" x14ac:dyDescent="0.3">
      <c r="A213" s="286" t="str">
        <f t="shared" si="19"/>
        <v>6340 Cannelton City Schools</v>
      </c>
      <c r="B213" s="307" t="s">
        <v>2342</v>
      </c>
      <c r="C213" s="308" t="s">
        <v>334</v>
      </c>
      <c r="D213" s="309">
        <v>84</v>
      </c>
      <c r="E213" s="310">
        <f t="shared" si="20"/>
        <v>5.1332192617941827E-4</v>
      </c>
      <c r="F213" s="311">
        <f t="shared" si="21"/>
        <v>14242.83796100709</v>
      </c>
      <c r="G213" s="312">
        <f>VLOOKUP(B213,'[1]Step 4 Final Title II FY20'!A213:Q610,15,FALSE)</f>
        <v>2267.9246778294673</v>
      </c>
      <c r="H213" s="313">
        <v>266</v>
      </c>
      <c r="I213" s="310">
        <f t="shared" si="22"/>
        <v>2.3178646367052165E-4</v>
      </c>
      <c r="J213" s="311">
        <f t="shared" si="23"/>
        <v>1607.8102625506272</v>
      </c>
      <c r="K213" s="312">
        <f>VLOOKUP(B213,'[1]Step 4 Final Title II FY20'!A213:Q610,16,FALSE)</f>
        <v>2.9975558421790538</v>
      </c>
      <c r="L213" s="314">
        <f t="shared" si="24"/>
        <v>18121.570457229362</v>
      </c>
    </row>
    <row r="214" spans="1:12" ht="15.6" customHeight="1" x14ac:dyDescent="0.3">
      <c r="A214" s="286" t="str">
        <f t="shared" si="19"/>
        <v>6350 Tell City-Troy Twp School Corp</v>
      </c>
      <c r="B214" s="307" t="s">
        <v>2343</v>
      </c>
      <c r="C214" s="308" t="s">
        <v>335</v>
      </c>
      <c r="D214" s="309">
        <v>242</v>
      </c>
      <c r="E214" s="310">
        <f t="shared" si="20"/>
        <v>1.4788560254216574E-3</v>
      </c>
      <c r="F214" s="311">
        <f t="shared" si="21"/>
        <v>41032.937935282331</v>
      </c>
      <c r="G214" s="312">
        <f>VLOOKUP(B214,'[1]Step 4 Final Title II FY20'!A214:Q611,15,FALSE)</f>
        <v>-4101.8217169608179</v>
      </c>
      <c r="H214" s="313">
        <v>1580</v>
      </c>
      <c r="I214" s="310">
        <f t="shared" si="22"/>
        <v>1.3767767390955796E-3</v>
      </c>
      <c r="J214" s="311">
        <f t="shared" si="23"/>
        <v>9550.1511835713936</v>
      </c>
      <c r="K214" s="312">
        <f>VLOOKUP(B214,'[1]Step 4 Final Title II FY20'!A214:Q611,16,FALSE)</f>
        <v>50.890639150826246</v>
      </c>
      <c r="L214" s="314">
        <f t="shared" si="24"/>
        <v>46532.158041043738</v>
      </c>
    </row>
    <row r="215" spans="1:12" ht="15.6" customHeight="1" x14ac:dyDescent="0.3">
      <c r="A215" s="286" t="str">
        <f t="shared" si="19"/>
        <v>6375 North Central Parke Comm Schl Corp</v>
      </c>
      <c r="B215" s="307" t="s">
        <v>2344</v>
      </c>
      <c r="C215" s="308" t="s">
        <v>336</v>
      </c>
      <c r="D215" s="309">
        <v>394</v>
      </c>
      <c r="E215" s="310">
        <f t="shared" si="20"/>
        <v>2.407724272793938E-3</v>
      </c>
      <c r="F215" s="311">
        <f t="shared" si="21"/>
        <v>66805.692340914204</v>
      </c>
      <c r="G215" s="312">
        <f>VLOOKUP(B215,'[1]Step 4 Final Title II FY20'!A215:Q612,15,FALSE)</f>
        <v>11419.985773850494</v>
      </c>
      <c r="H215" s="313">
        <v>1610</v>
      </c>
      <c r="I215" s="310">
        <f t="shared" si="22"/>
        <v>1.4029180695847362E-3</v>
      </c>
      <c r="J215" s="311">
        <f t="shared" si="23"/>
        <v>9731.4831680695843</v>
      </c>
      <c r="K215" s="312">
        <f>VLOOKUP(B215,'[1]Step 4 Final Title II FY20'!A215:Q612,16,FALSE)</f>
        <v>-21.856295741819849</v>
      </c>
      <c r="L215" s="314">
        <f t="shared" si="24"/>
        <v>87935.304987092459</v>
      </c>
    </row>
    <row r="216" spans="1:12" ht="15.6" customHeight="1" x14ac:dyDescent="0.3">
      <c r="A216" s="286" t="str">
        <f t="shared" si="19"/>
        <v>6445 Pike County School Corp</v>
      </c>
      <c r="B216" s="307" t="s">
        <v>2345</v>
      </c>
      <c r="C216" s="308" t="s">
        <v>337</v>
      </c>
      <c r="D216" s="309">
        <v>199</v>
      </c>
      <c r="E216" s="310">
        <f t="shared" si="20"/>
        <v>1.2160840870202884E-3</v>
      </c>
      <c r="F216" s="311">
        <f t="shared" si="21"/>
        <v>33741.961360004891</v>
      </c>
      <c r="G216" s="312">
        <f>VLOOKUP(B216,'[1]Step 4 Final Title II FY20'!A216:Q613,15,FALSE)</f>
        <v>-2061.0461348825047</v>
      </c>
      <c r="H216" s="313">
        <v>1860</v>
      </c>
      <c r="I216" s="310">
        <f t="shared" si="22"/>
        <v>1.6207624903277077E-3</v>
      </c>
      <c r="J216" s="311">
        <f t="shared" si="23"/>
        <v>11242.583038887844</v>
      </c>
      <c r="K216" s="312">
        <f>VLOOKUP(B216,'[1]Step 4 Final Title II FY20'!A216:Q613,16,FALSE)</f>
        <v>133.53815040676818</v>
      </c>
      <c r="L216" s="314">
        <f t="shared" si="24"/>
        <v>43057.036414417002</v>
      </c>
    </row>
    <row r="217" spans="1:12" ht="15.6" customHeight="1" x14ac:dyDescent="0.3">
      <c r="A217" s="286" t="str">
        <f t="shared" si="19"/>
        <v>6460 MSD Boone Township</v>
      </c>
      <c r="B217" s="307" t="s">
        <v>2346</v>
      </c>
      <c r="C217" s="308" t="s">
        <v>2347</v>
      </c>
      <c r="D217" s="309">
        <v>71</v>
      </c>
      <c r="E217" s="310">
        <f t="shared" si="20"/>
        <v>4.338792471278416E-4</v>
      </c>
      <c r="F217" s="311">
        <f t="shared" si="21"/>
        <v>12038.589228946468</v>
      </c>
      <c r="G217" s="312">
        <f>VLOOKUP(B217,'[1]Step 4 Final Title II FY20'!A217:Q614,15,FALSE)</f>
        <v>-1832.0439805772257</v>
      </c>
      <c r="H217" s="313">
        <v>1040</v>
      </c>
      <c r="I217" s="310">
        <f t="shared" si="22"/>
        <v>9.0623279029076131E-4</v>
      </c>
      <c r="J217" s="311">
        <f t="shared" si="23"/>
        <v>6286.1754626039556</v>
      </c>
      <c r="K217" s="312">
        <f>VLOOKUP(B217,'[1]Step 4 Final Title II FY20'!A217:Q614,16,FALSE)</f>
        <v>-28.040142423647012</v>
      </c>
      <c r="L217" s="314">
        <f t="shared" si="24"/>
        <v>16464.680568549549</v>
      </c>
    </row>
    <row r="218" spans="1:12" ht="15.6" customHeight="1" x14ac:dyDescent="0.3">
      <c r="A218" s="286" t="str">
        <f t="shared" si="19"/>
        <v>6470 Duneland School Corporation</v>
      </c>
      <c r="B218" s="307" t="s">
        <v>2348</v>
      </c>
      <c r="C218" s="308" t="s">
        <v>338</v>
      </c>
      <c r="D218" s="309">
        <v>359</v>
      </c>
      <c r="E218" s="310">
        <f t="shared" si="20"/>
        <v>2.1938401368858471E-3</v>
      </c>
      <c r="F218" s="311">
        <f t="shared" si="21"/>
        <v>60871.176523827919</v>
      </c>
      <c r="G218" s="312">
        <f>VLOOKUP(B218,'[1]Step 4 Final Title II FY20'!A218:Q615,15,FALSE)</f>
        <v>-2318.5043949920509</v>
      </c>
      <c r="H218" s="313">
        <v>6023</v>
      </c>
      <c r="I218" s="310">
        <f t="shared" si="22"/>
        <v>5.2483077845396683E-3</v>
      </c>
      <c r="J218" s="311">
        <f t="shared" si="23"/>
        <v>36405.418087753482</v>
      </c>
      <c r="K218" s="312">
        <f>VLOOKUP(B218,'[1]Step 4 Final Title II FY20'!A218:Q615,16,FALSE)</f>
        <v>-58.69425293122913</v>
      </c>
      <c r="L218" s="314">
        <f t="shared" si="24"/>
        <v>94899.395963658113</v>
      </c>
    </row>
    <row r="219" spans="1:12" ht="15.6" customHeight="1" x14ac:dyDescent="0.3">
      <c r="A219" s="286" t="str">
        <f t="shared" si="19"/>
        <v>6510 East Porter County School Corp</v>
      </c>
      <c r="B219" s="307" t="s">
        <v>2349</v>
      </c>
      <c r="C219" s="308" t="s">
        <v>339</v>
      </c>
      <c r="D219" s="309">
        <v>149</v>
      </c>
      <c r="E219" s="310">
        <f t="shared" si="20"/>
        <v>9.1053532143730144E-4</v>
      </c>
      <c r="F219" s="311">
        <f t="shared" si="21"/>
        <v>25264.081621310193</v>
      </c>
      <c r="G219" s="312">
        <f>VLOOKUP(B219,'[1]Step 4 Final Title II FY20'!A219:Q616,15,FALSE)</f>
        <v>1710.9471605697618</v>
      </c>
      <c r="H219" s="313">
        <v>2219</v>
      </c>
      <c r="I219" s="310">
        <f t="shared" si="22"/>
        <v>1.9335870785146148E-3</v>
      </c>
      <c r="J219" s="311">
        <f t="shared" si="23"/>
        <v>13412.522453382862</v>
      </c>
      <c r="K219" s="312">
        <f>VLOOKUP(B219,'[1]Step 4 Final Title II FY20'!A219:Q616,16,FALSE)</f>
        <v>-186.7356221336031</v>
      </c>
      <c r="L219" s="314">
        <f t="shared" si="24"/>
        <v>40200.815613129213</v>
      </c>
    </row>
    <row r="220" spans="1:12" ht="15.6" customHeight="1" x14ac:dyDescent="0.3">
      <c r="A220" s="286" t="str">
        <f t="shared" si="19"/>
        <v>6520 Porter Township School Corp</v>
      </c>
      <c r="B220" s="307" t="s">
        <v>2350</v>
      </c>
      <c r="C220" s="308" t="s">
        <v>340</v>
      </c>
      <c r="D220" s="309">
        <v>80</v>
      </c>
      <c r="E220" s="310">
        <f t="shared" si="20"/>
        <v>4.8887802493277925E-4</v>
      </c>
      <c r="F220" s="311">
        <f t="shared" si="21"/>
        <v>13564.607581911512</v>
      </c>
      <c r="G220" s="312">
        <f>VLOOKUP(B220,'[1]Step 4 Final Title II FY20'!A220:Q617,15,FALSE)</f>
        <v>394.2063596033986</v>
      </c>
      <c r="H220" s="313">
        <v>1530</v>
      </c>
      <c r="I220" s="310">
        <f t="shared" si="22"/>
        <v>1.3332078549469855E-3</v>
      </c>
      <c r="J220" s="311">
        <f t="shared" si="23"/>
        <v>9247.9312094077432</v>
      </c>
      <c r="K220" s="312">
        <f>VLOOKUP(B220,'[1]Step 4 Final Title II FY20'!A220:Q617,16,FALSE)</f>
        <v>-88.810415980820835</v>
      </c>
      <c r="L220" s="314">
        <f t="shared" si="24"/>
        <v>23117.934734941831</v>
      </c>
    </row>
    <row r="221" spans="1:12" ht="15.6" customHeight="1" x14ac:dyDescent="0.3">
      <c r="A221" s="286" t="str">
        <f t="shared" si="19"/>
        <v>6530 Union Township School Corp</v>
      </c>
      <c r="B221" s="307" t="s">
        <v>2351</v>
      </c>
      <c r="C221" s="308" t="s">
        <v>341</v>
      </c>
      <c r="D221" s="309">
        <v>60</v>
      </c>
      <c r="E221" s="310">
        <f t="shared" si="20"/>
        <v>3.6665851869958444E-4</v>
      </c>
      <c r="F221" s="311">
        <f t="shared" si="21"/>
        <v>10173.455686433634</v>
      </c>
      <c r="G221" s="312">
        <f>VLOOKUP(B221,'[1]Step 4 Final Title II FY20'!A221:Q618,15,FALSE)</f>
        <v>1650.8553286708175</v>
      </c>
      <c r="H221" s="313">
        <v>1609</v>
      </c>
      <c r="I221" s="310">
        <f t="shared" si="22"/>
        <v>1.4020466919017643E-3</v>
      </c>
      <c r="J221" s="311">
        <f t="shared" si="23"/>
        <v>9725.4387685863112</v>
      </c>
      <c r="K221" s="312">
        <f>VLOOKUP(B221,'[1]Step 4 Final Title II FY20'!A221:Q618,16,FALSE)</f>
        <v>-61.353762717795689</v>
      </c>
      <c r="L221" s="314">
        <f t="shared" si="24"/>
        <v>21488.39602097297</v>
      </c>
    </row>
    <row r="222" spans="1:12" ht="15.6" customHeight="1" x14ac:dyDescent="0.3">
      <c r="A222" s="286" t="str">
        <f t="shared" si="19"/>
        <v>6550 Portage Township Schools</v>
      </c>
      <c r="B222" s="307" t="s">
        <v>2352</v>
      </c>
      <c r="C222" s="308" t="s">
        <v>342</v>
      </c>
      <c r="D222" s="309">
        <v>883</v>
      </c>
      <c r="E222" s="310">
        <f t="shared" si="20"/>
        <v>5.3959912001955513E-3</v>
      </c>
      <c r="F222" s="311">
        <f t="shared" si="21"/>
        <v>149719.35618534833</v>
      </c>
      <c r="G222" s="312">
        <f>VLOOKUP(B222,'[1]Step 4 Final Title II FY20'!A222:Q619,15,FALSE)</f>
        <v>3948.3960904798878</v>
      </c>
      <c r="H222" s="313">
        <v>8153</v>
      </c>
      <c r="I222" s="310">
        <f t="shared" si="22"/>
        <v>7.1043422492697858E-3</v>
      </c>
      <c r="J222" s="311">
        <f t="shared" si="23"/>
        <v>49279.988987125049</v>
      </c>
      <c r="K222" s="312">
        <f>VLOOKUP(B222,'[1]Step 4 Final Title II FY20'!A222:Q619,16,FALSE)</f>
        <v>-266.21665103889973</v>
      </c>
      <c r="L222" s="314">
        <f t="shared" si="24"/>
        <v>202681.52461191436</v>
      </c>
    </row>
    <row r="223" spans="1:12" ht="15.6" customHeight="1" x14ac:dyDescent="0.3">
      <c r="A223" s="286" t="str">
        <f t="shared" si="19"/>
        <v>6560 Valparaiso Community Schools</v>
      </c>
      <c r="B223" s="307" t="s">
        <v>2353</v>
      </c>
      <c r="C223" s="308" t="s">
        <v>343</v>
      </c>
      <c r="D223" s="309">
        <v>416</v>
      </c>
      <c r="E223" s="310">
        <f t="shared" si="20"/>
        <v>2.5421657296504523E-3</v>
      </c>
      <c r="F223" s="311">
        <f t="shared" si="21"/>
        <v>70535.959425939873</v>
      </c>
      <c r="G223" s="312">
        <f>VLOOKUP(B223,'[1]Step 4 Final Title II FY20'!A223:Q620,15,FALSE)</f>
        <v>-9732.2687105445511</v>
      </c>
      <c r="H223" s="313">
        <v>6555</v>
      </c>
      <c r="I223" s="310">
        <f t="shared" si="22"/>
        <v>5.7118807118807123E-3</v>
      </c>
      <c r="J223" s="311">
        <f t="shared" si="23"/>
        <v>39621.03861285474</v>
      </c>
      <c r="K223" s="312">
        <f>VLOOKUP(B223,'[1]Step 4 Final Title II FY20'!A223:Q620,16,FALSE)</f>
        <v>-277.26565939483407</v>
      </c>
      <c r="L223" s="314">
        <f t="shared" si="24"/>
        <v>100147.46366885523</v>
      </c>
    </row>
    <row r="224" spans="1:12" ht="15.6" customHeight="1" x14ac:dyDescent="0.3">
      <c r="A224" s="286" t="str">
        <f t="shared" si="19"/>
        <v>6590 MSD Mount Vernon</v>
      </c>
      <c r="B224" s="307" t="s">
        <v>2354</v>
      </c>
      <c r="C224" s="308" t="s">
        <v>2355</v>
      </c>
      <c r="D224" s="309">
        <v>301</v>
      </c>
      <c r="E224" s="310">
        <f t="shared" si="20"/>
        <v>1.839403568809582E-3</v>
      </c>
      <c r="F224" s="311">
        <f t="shared" si="21"/>
        <v>51036.836026942066</v>
      </c>
      <c r="G224" s="312">
        <f>VLOOKUP(B224,'[1]Step 4 Final Title II FY20'!A224:Q621,15,FALSE)</f>
        <v>-3874.6726212096473</v>
      </c>
      <c r="H224" s="313">
        <v>2589</v>
      </c>
      <c r="I224" s="310">
        <f t="shared" si="22"/>
        <v>2.2559968212142126E-3</v>
      </c>
      <c r="J224" s="311">
        <f t="shared" si="23"/>
        <v>15648.950262193886</v>
      </c>
      <c r="K224" s="312">
        <f>VLOOKUP(B224,'[1]Step 4 Final Title II FY20'!A224:Q621,16,FALSE)</f>
        <v>187.8433036802744</v>
      </c>
      <c r="L224" s="314">
        <f t="shared" si="24"/>
        <v>62998.956971606582</v>
      </c>
    </row>
    <row r="225" spans="1:12" ht="15.6" customHeight="1" x14ac:dyDescent="0.3">
      <c r="A225" s="286" t="str">
        <f t="shared" si="19"/>
        <v>6600 MSD North Posey Co Schools</v>
      </c>
      <c r="B225" s="307" t="s">
        <v>2356</v>
      </c>
      <c r="C225" s="308" t="s">
        <v>2357</v>
      </c>
      <c r="D225" s="309">
        <v>103</v>
      </c>
      <c r="E225" s="310">
        <f t="shared" si="20"/>
        <v>6.2943045710095328E-4</v>
      </c>
      <c r="F225" s="311">
        <f t="shared" si="21"/>
        <v>17464.432261711074</v>
      </c>
      <c r="G225" s="312">
        <f>VLOOKUP(B225,'[1]Step 4 Final Title II FY20'!A225:Q622,15,FALSE)</f>
        <v>-1664.9867167249977</v>
      </c>
      <c r="H225" s="313">
        <v>1567</v>
      </c>
      <c r="I225" s="310">
        <f t="shared" si="22"/>
        <v>1.3654488292169451E-3</v>
      </c>
      <c r="J225" s="311">
        <f t="shared" si="23"/>
        <v>9471.5739902888436</v>
      </c>
      <c r="K225" s="312">
        <f>VLOOKUP(B225,'[1]Step 4 Final Title II FY20'!A225:Q622,16,FALSE)</f>
        <v>130.05210398290001</v>
      </c>
      <c r="L225" s="314">
        <f t="shared" si="24"/>
        <v>25401.071639257822</v>
      </c>
    </row>
    <row r="226" spans="1:12" ht="15.6" customHeight="1" x14ac:dyDescent="0.3">
      <c r="A226" s="286" t="str">
        <f t="shared" si="19"/>
        <v>6620 Eastern Pulaski Community Sch Corp</v>
      </c>
      <c r="B226" s="307" t="s">
        <v>2358</v>
      </c>
      <c r="C226" s="308" t="s">
        <v>2359</v>
      </c>
      <c r="D226" s="309">
        <v>163</v>
      </c>
      <c r="E226" s="310">
        <f t="shared" si="20"/>
        <v>9.9608897580053782E-4</v>
      </c>
      <c r="F226" s="311">
        <f t="shared" si="21"/>
        <v>27637.887948144711</v>
      </c>
      <c r="G226" s="312">
        <f>VLOOKUP(B226,'[1]Step 4 Final Title II FY20'!A226:Q623,15,FALSE)</f>
        <v>-4399.8478288137194</v>
      </c>
      <c r="H226" s="313">
        <v>1100</v>
      </c>
      <c r="I226" s="310">
        <f t="shared" si="22"/>
        <v>9.5851545126907447E-4</v>
      </c>
      <c r="J226" s="311">
        <f t="shared" si="23"/>
        <v>6648.8394316003378</v>
      </c>
      <c r="K226" s="312">
        <f>VLOOKUP(B226,'[1]Step 4 Final Title II FY20'!A226:Q623,16,FALSE)</f>
        <v>25.729652058904321</v>
      </c>
      <c r="L226" s="314">
        <f t="shared" si="24"/>
        <v>29912.609202990232</v>
      </c>
    </row>
    <row r="227" spans="1:12" ht="15.6" customHeight="1" x14ac:dyDescent="0.3">
      <c r="A227" s="286" t="str">
        <f t="shared" si="19"/>
        <v>6630 West Central School Corp</v>
      </c>
      <c r="B227" s="307" t="s">
        <v>2360</v>
      </c>
      <c r="C227" s="308" t="s">
        <v>344</v>
      </c>
      <c r="D227" s="309">
        <v>120</v>
      </c>
      <c r="E227" s="310">
        <f t="shared" si="20"/>
        <v>7.3331703739916887E-4</v>
      </c>
      <c r="F227" s="311">
        <f t="shared" si="21"/>
        <v>20346.911372867267</v>
      </c>
      <c r="G227" s="312">
        <f>VLOOKUP(B227,'[1]Step 4 Final Title II FY20'!A227:Q624,15,FALSE)</f>
        <v>-1671.125881475029</v>
      </c>
      <c r="H227" s="313">
        <v>778</v>
      </c>
      <c r="I227" s="310">
        <f t="shared" si="22"/>
        <v>6.779318373521272E-4</v>
      </c>
      <c r="J227" s="311">
        <f t="shared" si="23"/>
        <v>4702.5427979864207</v>
      </c>
      <c r="K227" s="312">
        <f>VLOOKUP(B227,'[1]Step 4 Final Title II FY20'!A227:Q624,16,FALSE)</f>
        <v>8.8372387050912948</v>
      </c>
      <c r="L227" s="314">
        <f t="shared" si="24"/>
        <v>23387.165528083751</v>
      </c>
    </row>
    <row r="228" spans="1:12" ht="15.6" customHeight="1" x14ac:dyDescent="0.3">
      <c r="A228" s="286" t="str">
        <f t="shared" si="19"/>
        <v>6705 South Putnam Community Schools</v>
      </c>
      <c r="B228" s="307" t="s">
        <v>2361</v>
      </c>
      <c r="C228" s="308" t="s">
        <v>345</v>
      </c>
      <c r="D228" s="309">
        <v>143</v>
      </c>
      <c r="E228" s="310">
        <f t="shared" si="20"/>
        <v>8.738694695673429E-4</v>
      </c>
      <c r="F228" s="311">
        <f t="shared" si="21"/>
        <v>24246.736052666827</v>
      </c>
      <c r="G228" s="312">
        <f>VLOOKUP(B228,'[1]Step 4 Final Title II FY20'!A228:Q625,15,FALSE)</f>
        <v>-623.76175686142597</v>
      </c>
      <c r="H228" s="313">
        <v>1164</v>
      </c>
      <c r="I228" s="310">
        <f t="shared" si="22"/>
        <v>1.0142836229792751E-3</v>
      </c>
      <c r="J228" s="311">
        <f t="shared" si="23"/>
        <v>7035.6809985298114</v>
      </c>
      <c r="K228" s="312">
        <f>VLOOKUP(B228,'[1]Step 4 Final Title II FY20'!A228:Q625,16,FALSE)</f>
        <v>-119.22021685132404</v>
      </c>
      <c r="L228" s="314">
        <f t="shared" si="24"/>
        <v>30539.435077483889</v>
      </c>
    </row>
    <row r="229" spans="1:12" ht="15.6" customHeight="1" x14ac:dyDescent="0.3">
      <c r="A229" s="286" t="str">
        <f t="shared" si="19"/>
        <v>6715 North Putnam Community Schools</v>
      </c>
      <c r="B229" s="307" t="s">
        <v>2362</v>
      </c>
      <c r="C229" s="308" t="s">
        <v>346</v>
      </c>
      <c r="D229" s="309">
        <v>203</v>
      </c>
      <c r="E229" s="310">
        <f t="shared" si="20"/>
        <v>1.2405279882669274E-3</v>
      </c>
      <c r="F229" s="311">
        <f t="shared" si="21"/>
        <v>34420.191739100468</v>
      </c>
      <c r="G229" s="312">
        <f>VLOOKUP(B229,'[1]Step 4 Final Title II FY20'!A229:Q626,15,FALSE)</f>
        <v>-4191.8627999612727</v>
      </c>
      <c r="H229" s="313">
        <v>1688</v>
      </c>
      <c r="I229" s="310">
        <f t="shared" si="22"/>
        <v>1.4708855288565433E-3</v>
      </c>
      <c r="J229" s="311">
        <f t="shared" si="23"/>
        <v>10202.946327764881</v>
      </c>
      <c r="K229" s="312">
        <f>VLOOKUP(B229,'[1]Step 4 Final Title II FY20'!A229:Q626,16,FALSE)</f>
        <v>-153.02232772715979</v>
      </c>
      <c r="L229" s="314">
        <f t="shared" si="24"/>
        <v>40278.25293917692</v>
      </c>
    </row>
    <row r="230" spans="1:12" ht="15.6" customHeight="1" x14ac:dyDescent="0.3">
      <c r="A230" s="286" t="str">
        <f t="shared" si="19"/>
        <v>6750 Cloverdale Community Schools</v>
      </c>
      <c r="B230" s="307" t="s">
        <v>2363</v>
      </c>
      <c r="C230" s="308" t="s">
        <v>347</v>
      </c>
      <c r="D230" s="309">
        <v>199</v>
      </c>
      <c r="E230" s="310">
        <f t="shared" si="20"/>
        <v>1.2160840870202884E-3</v>
      </c>
      <c r="F230" s="311">
        <f t="shared" si="21"/>
        <v>33741.961360004891</v>
      </c>
      <c r="G230" s="312">
        <f>VLOOKUP(B230,'[1]Step 4 Final Title II FY20'!A230:Q627,15,FALSE)</f>
        <v>-826.90743656521227</v>
      </c>
      <c r="H230" s="313">
        <v>1126</v>
      </c>
      <c r="I230" s="310">
        <f t="shared" si="22"/>
        <v>9.811712710263436E-4</v>
      </c>
      <c r="J230" s="311">
        <f t="shared" si="23"/>
        <v>6805.993818165437</v>
      </c>
      <c r="K230" s="312">
        <f>VLOOKUP(B230,'[1]Step 4 Final Title II FY20'!A230:Q627,16,FALSE)</f>
        <v>-66.649444705644783</v>
      </c>
      <c r="L230" s="314">
        <f t="shared" si="24"/>
        <v>39654.398296899468</v>
      </c>
    </row>
    <row r="231" spans="1:12" ht="15.6" customHeight="1" x14ac:dyDescent="0.3">
      <c r="A231" s="286" t="str">
        <f t="shared" si="19"/>
        <v>6755 Greencastle Community School Corp</v>
      </c>
      <c r="B231" s="307" t="s">
        <v>2364</v>
      </c>
      <c r="C231" s="308" t="s">
        <v>2365</v>
      </c>
      <c r="D231" s="309">
        <v>272</v>
      </c>
      <c r="E231" s="310">
        <f t="shared" si="20"/>
        <v>1.6621852847714495E-3</v>
      </c>
      <c r="F231" s="311">
        <f t="shared" si="21"/>
        <v>46119.665778499148</v>
      </c>
      <c r="G231" s="312">
        <f>VLOOKUP(B231,'[1]Step 4 Final Title II FY20'!A231:Q628,15,FALSE)</f>
        <v>-8757.4680770258492</v>
      </c>
      <c r="H231" s="313">
        <v>1895</v>
      </c>
      <c r="I231" s="310">
        <f t="shared" si="22"/>
        <v>1.6512607092317238E-3</v>
      </c>
      <c r="J231" s="311">
        <f t="shared" si="23"/>
        <v>11454.1370208024</v>
      </c>
      <c r="K231" s="312">
        <f>VLOOKUP(B231,'[1]Step 4 Final Title II FY20'!A231:Q628,16,FALSE)</f>
        <v>-190.5214241416852</v>
      </c>
      <c r="L231" s="314">
        <f t="shared" si="24"/>
        <v>48625.813298134017</v>
      </c>
    </row>
    <row r="232" spans="1:12" ht="15.6" customHeight="1" x14ac:dyDescent="0.3">
      <c r="A232" s="286" t="str">
        <f t="shared" si="19"/>
        <v>6795 Union School Corporation</v>
      </c>
      <c r="B232" s="307" t="s">
        <v>2366</v>
      </c>
      <c r="C232" s="308" t="s">
        <v>348</v>
      </c>
      <c r="D232" s="309">
        <v>85</v>
      </c>
      <c r="E232" s="310">
        <f t="shared" si="20"/>
        <v>5.1943290149107798E-4</v>
      </c>
      <c r="F232" s="311">
        <f t="shared" si="21"/>
        <v>14412.395555780982</v>
      </c>
      <c r="G232" s="312">
        <f>VLOOKUP(B232,'[1]Step 4 Final Title II FY20'!A232:Q629,15,FALSE)</f>
        <v>846.26483315983023</v>
      </c>
      <c r="H232" s="313">
        <v>457</v>
      </c>
      <c r="I232" s="310">
        <f t="shared" si="22"/>
        <v>3.9821960111815184E-4</v>
      </c>
      <c r="J232" s="311">
        <f t="shared" si="23"/>
        <v>2762.2905638557768</v>
      </c>
      <c r="K232" s="312">
        <f>VLOOKUP(B232,'[1]Step 4 Final Title II FY20'!A232:Q629,16,FALSE)</f>
        <v>-47.741376622168445</v>
      </c>
      <c r="L232" s="314">
        <f t="shared" si="24"/>
        <v>17973.20957617442</v>
      </c>
    </row>
    <row r="233" spans="1:12" ht="15.6" customHeight="1" x14ac:dyDescent="0.3">
      <c r="A233" s="286" t="str">
        <f t="shared" si="19"/>
        <v>6805 Randolph Southern School Corp</v>
      </c>
      <c r="B233" s="307" t="s">
        <v>2367</v>
      </c>
      <c r="C233" s="308" t="s">
        <v>349</v>
      </c>
      <c r="D233" s="309">
        <v>91</v>
      </c>
      <c r="E233" s="310">
        <f t="shared" si="20"/>
        <v>5.5609875336103641E-4</v>
      </c>
      <c r="F233" s="311">
        <f t="shared" si="21"/>
        <v>15429.741124424347</v>
      </c>
      <c r="G233" s="312">
        <f>VLOOKUP(B233,'[1]Step 4 Final Title II FY20'!A233:Q630,15,FALSE)</f>
        <v>-2628.44892308817</v>
      </c>
      <c r="H233" s="313">
        <v>525</v>
      </c>
      <c r="I233" s="310">
        <f t="shared" si="22"/>
        <v>4.5747328356024008E-4</v>
      </c>
      <c r="J233" s="311">
        <f t="shared" si="23"/>
        <v>3173.3097287183427</v>
      </c>
      <c r="K233" s="312">
        <f>VLOOKUP(B233,'[1]Step 4 Final Title II FY20'!A233:Q630,16,FALSE)</f>
        <v>-66.829537619010353</v>
      </c>
      <c r="L233" s="314">
        <f t="shared" si="24"/>
        <v>15907.772392435509</v>
      </c>
    </row>
    <row r="234" spans="1:12" ht="15.6" customHeight="1" x14ac:dyDescent="0.3">
      <c r="A234" s="286" t="str">
        <f t="shared" si="19"/>
        <v>6820 Monroe Central School Corp</v>
      </c>
      <c r="B234" s="307" t="s">
        <v>2368</v>
      </c>
      <c r="C234" s="308" t="s">
        <v>350</v>
      </c>
      <c r="D234" s="309">
        <v>115</v>
      </c>
      <c r="E234" s="310">
        <f t="shared" si="20"/>
        <v>7.0276216084087025E-4</v>
      </c>
      <c r="F234" s="311">
        <f t="shared" si="21"/>
        <v>19499.123398997803</v>
      </c>
      <c r="G234" s="312">
        <f>VLOOKUP(B234,'[1]Step 4 Final Title II FY20'!A234:Q631,15,FALSE)</f>
        <v>-2129.3235197814975</v>
      </c>
      <c r="H234" s="313">
        <v>860</v>
      </c>
      <c r="I234" s="310">
        <f t="shared" si="22"/>
        <v>7.4938480735582181E-4</v>
      </c>
      <c r="J234" s="311">
        <f t="shared" si="23"/>
        <v>5198.1835556148089</v>
      </c>
      <c r="K234" s="312">
        <f>VLOOKUP(B234,'[1]Step 4 Final Title II FY20'!A234:Q631,16,FALSE)</f>
        <v>-96.004550002049655</v>
      </c>
      <c r="L234" s="314">
        <f t="shared" si="24"/>
        <v>22471.978884829063</v>
      </c>
    </row>
    <row r="235" spans="1:12" ht="15.6" customHeight="1" x14ac:dyDescent="0.3">
      <c r="A235" s="286" t="str">
        <f t="shared" si="19"/>
        <v>6825 Randolph Central School Corp</v>
      </c>
      <c r="B235" s="307" t="s">
        <v>2369</v>
      </c>
      <c r="C235" s="308" t="s">
        <v>351</v>
      </c>
      <c r="D235" s="309">
        <v>272</v>
      </c>
      <c r="E235" s="310">
        <f t="shared" si="20"/>
        <v>1.6621852847714495E-3</v>
      </c>
      <c r="F235" s="311">
        <f t="shared" si="21"/>
        <v>46119.665778499148</v>
      </c>
      <c r="G235" s="312">
        <f>VLOOKUP(B235,'[1]Step 4 Final Title II FY20'!A235:Q632,15,FALSE)</f>
        <v>-4461.7927192667703</v>
      </c>
      <c r="H235" s="313">
        <v>1482</v>
      </c>
      <c r="I235" s="310">
        <f t="shared" si="22"/>
        <v>1.2913817261643349E-3</v>
      </c>
      <c r="J235" s="311">
        <f t="shared" si="23"/>
        <v>8957.800034210637</v>
      </c>
      <c r="K235" s="312">
        <f>VLOOKUP(B235,'[1]Step 4 Final Title II FY20'!A235:Q632,16,FALSE)</f>
        <v>-135.19980141923952</v>
      </c>
      <c r="L235" s="314">
        <f t="shared" si="24"/>
        <v>50480.473292023773</v>
      </c>
    </row>
    <row r="236" spans="1:12" ht="15.6" customHeight="1" x14ac:dyDescent="0.3">
      <c r="A236" s="286" t="str">
        <f t="shared" si="19"/>
        <v>6835 Randolph Eastern School Corp</v>
      </c>
      <c r="B236" s="307" t="s">
        <v>2370</v>
      </c>
      <c r="C236" s="308" t="s">
        <v>352</v>
      </c>
      <c r="D236" s="309">
        <v>170</v>
      </c>
      <c r="E236" s="310">
        <f t="shared" si="20"/>
        <v>1.038865802982156E-3</v>
      </c>
      <c r="F236" s="311">
        <f t="shared" si="21"/>
        <v>28824.791111561964</v>
      </c>
      <c r="G236" s="312">
        <f>VLOOKUP(B236,'[1]Step 4 Final Title II FY20'!A236:Q633,15,FALSE)</f>
        <v>-1943.1021890305274</v>
      </c>
      <c r="H236" s="313">
        <v>844</v>
      </c>
      <c r="I236" s="310">
        <f t="shared" si="22"/>
        <v>7.3544276442827166E-4</v>
      </c>
      <c r="J236" s="311">
        <f t="shared" si="23"/>
        <v>5101.4731638824405</v>
      </c>
      <c r="K236" s="312">
        <f>VLOOKUP(B236,'[1]Step 4 Final Title II FY20'!A236:Q633,16,FALSE)</f>
        <v>-89.645530355994197</v>
      </c>
      <c r="L236" s="314">
        <f t="shared" si="24"/>
        <v>31893.516556057883</v>
      </c>
    </row>
    <row r="237" spans="1:12" ht="15.6" customHeight="1" x14ac:dyDescent="0.3">
      <c r="A237" s="286" t="str">
        <f t="shared" si="19"/>
        <v>6865 South Ripley Com Sch Corp</v>
      </c>
      <c r="B237" s="307" t="s">
        <v>2371</v>
      </c>
      <c r="C237" s="308" t="s">
        <v>353</v>
      </c>
      <c r="D237" s="309">
        <v>177</v>
      </c>
      <c r="E237" s="310">
        <f t="shared" si="20"/>
        <v>1.0816426301637741E-3</v>
      </c>
      <c r="F237" s="311">
        <f t="shared" si="21"/>
        <v>30011.694274979222</v>
      </c>
      <c r="G237" s="312">
        <f>VLOOKUP(B237,'[1]Step 4 Final Title II FY20'!A237:Q634,15,FALSE)</f>
        <v>283.14815115008969</v>
      </c>
      <c r="H237" s="313">
        <v>1183</v>
      </c>
      <c r="I237" s="310">
        <f t="shared" si="22"/>
        <v>1.0308397989557409E-3</v>
      </c>
      <c r="J237" s="311">
        <f t="shared" si="23"/>
        <v>7150.5245887119991</v>
      </c>
      <c r="K237" s="312">
        <f>VLOOKUP(B237,'[1]Step 4 Final Title II FY20'!A237:Q634,16,FALSE)</f>
        <v>-198.17074256857995</v>
      </c>
      <c r="L237" s="314">
        <f t="shared" si="24"/>
        <v>37247.196272272726</v>
      </c>
    </row>
    <row r="238" spans="1:12" ht="15.6" customHeight="1" x14ac:dyDescent="0.3">
      <c r="A238" s="286" t="str">
        <f t="shared" si="19"/>
        <v>6895 Batesville Community School Corp</v>
      </c>
      <c r="B238" s="307" t="s">
        <v>2372</v>
      </c>
      <c r="C238" s="308" t="s">
        <v>2373</v>
      </c>
      <c r="D238" s="309">
        <v>194</v>
      </c>
      <c r="E238" s="310">
        <f t="shared" si="20"/>
        <v>1.1855292104619897E-3</v>
      </c>
      <c r="F238" s="311">
        <f t="shared" si="21"/>
        <v>32894.173386135422</v>
      </c>
      <c r="G238" s="312">
        <f>VLOOKUP(B238,'[1]Step 4 Final Title II FY20'!A238:Q635,15,FALSE)</f>
        <v>2214.1653403764576</v>
      </c>
      <c r="H238" s="313">
        <v>2165</v>
      </c>
      <c r="I238" s="310">
        <f t="shared" si="22"/>
        <v>1.8865326836341328E-3</v>
      </c>
      <c r="J238" s="311">
        <f t="shared" si="23"/>
        <v>13086.124881286118</v>
      </c>
      <c r="K238" s="312">
        <f>VLOOKUP(B238,'[1]Step 4 Final Title II FY20'!A238:Q635,16,FALSE)</f>
        <v>-206.75635605911702</v>
      </c>
      <c r="L238" s="314">
        <f t="shared" si="24"/>
        <v>47987.707251738881</v>
      </c>
    </row>
    <row r="239" spans="1:12" ht="15.6" customHeight="1" x14ac:dyDescent="0.3">
      <c r="A239" s="286" t="str">
        <f t="shared" si="19"/>
        <v>6900 Jac-Cen-Del Community Sch Corp</v>
      </c>
      <c r="B239" s="307" t="s">
        <v>2374</v>
      </c>
      <c r="C239" s="308" t="s">
        <v>354</v>
      </c>
      <c r="D239" s="309">
        <v>137</v>
      </c>
      <c r="E239" s="310">
        <f t="shared" si="20"/>
        <v>8.3720361769738447E-4</v>
      </c>
      <c r="F239" s="311">
        <f t="shared" si="21"/>
        <v>23229.390484023465</v>
      </c>
      <c r="G239" s="312">
        <f>VLOOKUP(B239,'[1]Step 4 Final Title II FY20'!A239:Q636,15,FALSE)</f>
        <v>2912.3436468868895</v>
      </c>
      <c r="H239" s="313">
        <v>824</v>
      </c>
      <c r="I239" s="310">
        <f t="shared" si="22"/>
        <v>7.1801521076883393E-4</v>
      </c>
      <c r="J239" s="311">
        <f t="shared" si="23"/>
        <v>4980.5851742169798</v>
      </c>
      <c r="K239" s="312">
        <f>VLOOKUP(B239,'[1]Step 4 Final Title II FY20'!A239:Q636,16,FALSE)</f>
        <v>-69.991164366741032</v>
      </c>
      <c r="L239" s="314">
        <f t="shared" si="24"/>
        <v>31052.328140760594</v>
      </c>
    </row>
    <row r="240" spans="1:12" ht="15.6" customHeight="1" x14ac:dyDescent="0.3">
      <c r="A240" s="286" t="str">
        <f t="shared" si="19"/>
        <v>6910 Milan Community Schools</v>
      </c>
      <c r="B240" s="307" t="s">
        <v>2375</v>
      </c>
      <c r="C240" s="308" t="s">
        <v>355</v>
      </c>
      <c r="D240" s="309">
        <v>121</v>
      </c>
      <c r="E240" s="310">
        <f t="shared" si="20"/>
        <v>7.3942801271082868E-4</v>
      </c>
      <c r="F240" s="311">
        <f t="shared" si="21"/>
        <v>20516.468967641165</v>
      </c>
      <c r="G240" s="312">
        <f>VLOOKUP(B240,'[1]Step 4 Final Title II FY20'!A240:Q637,15,FALSE)</f>
        <v>1243.8173966146132</v>
      </c>
      <c r="H240" s="313">
        <v>1101</v>
      </c>
      <c r="I240" s="310">
        <f t="shared" si="22"/>
        <v>9.5938682895204633E-4</v>
      </c>
      <c r="J240" s="311">
        <f t="shared" si="23"/>
        <v>6654.8838310836109</v>
      </c>
      <c r="K240" s="312">
        <f>VLOOKUP(B240,'[1]Step 4 Final Title II FY20'!A240:Q637,16,FALSE)</f>
        <v>-113.06103426141453</v>
      </c>
      <c r="L240" s="314">
        <f t="shared" si="24"/>
        <v>28302.109161077977</v>
      </c>
    </row>
    <row r="241" spans="1:12" ht="15.6" customHeight="1" x14ac:dyDescent="0.3">
      <c r="A241" s="286" t="str">
        <f t="shared" si="19"/>
        <v>6995 Rush County Schools</v>
      </c>
      <c r="B241" s="307" t="s">
        <v>2376</v>
      </c>
      <c r="C241" s="308" t="s">
        <v>356</v>
      </c>
      <c r="D241" s="309">
        <v>321</v>
      </c>
      <c r="E241" s="310">
        <f t="shared" si="20"/>
        <v>1.9616230750427767E-3</v>
      </c>
      <c r="F241" s="311">
        <f t="shared" si="21"/>
        <v>54427.987922419947</v>
      </c>
      <c r="G241" s="312">
        <f>VLOOKUP(B241,'[1]Step 4 Final Title II FY20'!A241:Q638,15,FALSE)</f>
        <v>-3874.6726212096473</v>
      </c>
      <c r="H241" s="313">
        <v>2327</v>
      </c>
      <c r="I241" s="310">
        <f t="shared" si="22"/>
        <v>2.0276958682755785E-3</v>
      </c>
      <c r="J241" s="311">
        <f t="shared" si="23"/>
        <v>14065.317597576352</v>
      </c>
      <c r="K241" s="312">
        <f>VLOOKUP(B241,'[1]Step 4 Final Title II FY20'!A241:Q638,16,FALSE)</f>
        <v>12.927716246531418</v>
      </c>
      <c r="L241" s="314">
        <f t="shared" si="24"/>
        <v>64631.560615033181</v>
      </c>
    </row>
    <row r="242" spans="1:12" ht="15.6" customHeight="1" x14ac:dyDescent="0.3">
      <c r="A242" s="286" t="str">
        <f t="shared" si="19"/>
        <v>7150 John Glenn School Corporation</v>
      </c>
      <c r="B242" s="307" t="s">
        <v>2377</v>
      </c>
      <c r="C242" s="308" t="s">
        <v>357</v>
      </c>
      <c r="D242" s="309">
        <v>177</v>
      </c>
      <c r="E242" s="310">
        <f t="shared" si="20"/>
        <v>1.0816426301637741E-3</v>
      </c>
      <c r="F242" s="311">
        <f t="shared" si="21"/>
        <v>30011.694274979222</v>
      </c>
      <c r="G242" s="312">
        <f>VLOOKUP(B242,'[1]Step 4 Final Title II FY20'!A242:Q639,15,FALSE)</f>
        <v>-6817.7120918466971</v>
      </c>
      <c r="H242" s="313">
        <v>1837</v>
      </c>
      <c r="I242" s="310">
        <f t="shared" si="22"/>
        <v>1.6007208036193544E-3</v>
      </c>
      <c r="J242" s="311">
        <f t="shared" si="23"/>
        <v>11103.561850772563</v>
      </c>
      <c r="K242" s="312">
        <f>VLOOKUP(B242,'[1]Step 4 Final Title II FY20'!A242:Q639,16,FALSE)</f>
        <v>-39.001596470579898</v>
      </c>
      <c r="L242" s="314">
        <f t="shared" si="24"/>
        <v>34258.542437434502</v>
      </c>
    </row>
    <row r="243" spans="1:12" ht="15.6" customHeight="1" x14ac:dyDescent="0.3">
      <c r="A243" s="286" t="str">
        <f t="shared" si="19"/>
        <v>7175 Penn-Harris-Madison School Corp</v>
      </c>
      <c r="B243" s="307" t="s">
        <v>2378</v>
      </c>
      <c r="C243" s="308" t="s">
        <v>2379</v>
      </c>
      <c r="D243" s="309">
        <v>1009</v>
      </c>
      <c r="E243" s="310">
        <f t="shared" si="20"/>
        <v>6.1659740894646781E-3</v>
      </c>
      <c r="F243" s="311">
        <f t="shared" si="21"/>
        <v>171083.61312685895</v>
      </c>
      <c r="G243" s="312">
        <f>VLOOKUP(B243,'[1]Step 4 Final Title II FY20'!A243:Q640,15,FALSE)</f>
        <v>-24589.000020102438</v>
      </c>
      <c r="H243" s="313">
        <v>11811</v>
      </c>
      <c r="I243" s="310">
        <f t="shared" si="22"/>
        <v>1.0291841813580943E-2</v>
      </c>
      <c r="J243" s="311">
        <f t="shared" si="23"/>
        <v>71390.402296937798</v>
      </c>
      <c r="K243" s="312">
        <f>VLOOKUP(B243,'[1]Step 4 Final Title II FY20'!A243:Q640,16,FALSE)</f>
        <v>118.91907041425293</v>
      </c>
      <c r="L243" s="314">
        <f t="shared" si="24"/>
        <v>218003.93447410857</v>
      </c>
    </row>
    <row r="244" spans="1:12" ht="15.6" customHeight="1" x14ac:dyDescent="0.3">
      <c r="A244" s="286" t="str">
        <f t="shared" si="19"/>
        <v>7200 School City of Mishawaka</v>
      </c>
      <c r="B244" s="307" t="s">
        <v>2380</v>
      </c>
      <c r="C244" s="308" t="s">
        <v>358</v>
      </c>
      <c r="D244" s="309">
        <v>1081</v>
      </c>
      <c r="E244" s="310">
        <f t="shared" si="20"/>
        <v>6.6059643119041802E-3</v>
      </c>
      <c r="F244" s="311">
        <f t="shared" si="21"/>
        <v>183291.75995057932</v>
      </c>
      <c r="G244" s="312">
        <f>VLOOKUP(B244,'[1]Step 4 Final Title II FY20'!A244:Q641,15,FALSE)</f>
        <v>-48342.54713738276</v>
      </c>
      <c r="H244" s="313">
        <v>5258</v>
      </c>
      <c r="I244" s="310">
        <f t="shared" si="22"/>
        <v>4.5817038570661762E-3</v>
      </c>
      <c r="J244" s="311">
        <f t="shared" si="23"/>
        <v>31781.452483049616</v>
      </c>
      <c r="K244" s="312">
        <f>VLOOKUP(B244,'[1]Step 4 Final Title II FY20'!A244:Q641,16,FALSE)</f>
        <v>-106.65148861734633</v>
      </c>
      <c r="L244" s="314">
        <f t="shared" si="24"/>
        <v>166624.01380762883</v>
      </c>
    </row>
    <row r="245" spans="1:12" ht="15.6" customHeight="1" x14ac:dyDescent="0.3">
      <c r="A245" s="286" t="str">
        <f t="shared" si="19"/>
        <v>7205 South Bend Community School Corp</v>
      </c>
      <c r="B245" s="307" t="s">
        <v>2381</v>
      </c>
      <c r="C245" s="308" t="s">
        <v>2382</v>
      </c>
      <c r="D245" s="309">
        <v>6239</v>
      </c>
      <c r="E245" s="310">
        <f t="shared" si="20"/>
        <v>3.8126374969445126E-2</v>
      </c>
      <c r="F245" s="311">
        <f t="shared" si="21"/>
        <v>1057869.8337943242</v>
      </c>
      <c r="G245" s="312">
        <f>VLOOKUP(B245,'[1]Step 4 Final Title II FY20'!A245:Q642,15,FALSE)</f>
        <v>-179757.41447401373</v>
      </c>
      <c r="H245" s="313">
        <v>24825</v>
      </c>
      <c r="I245" s="310">
        <f t="shared" si="22"/>
        <v>2.1631950979777066E-2</v>
      </c>
      <c r="J245" s="311">
        <f t="shared" si="23"/>
        <v>150052.21717225306</v>
      </c>
      <c r="K245" s="312">
        <f>VLOOKUP(B245,'[1]Step 4 Final Title II FY20'!A245:Q642,16,FALSE)</f>
        <v>-99.334227175218984</v>
      </c>
      <c r="L245" s="314">
        <f t="shared" si="24"/>
        <v>1028065.3022653883</v>
      </c>
    </row>
    <row r="246" spans="1:12" ht="15.6" customHeight="1" x14ac:dyDescent="0.3">
      <c r="A246" s="286" t="str">
        <f t="shared" si="19"/>
        <v>7215 Union-North United School Corp</v>
      </c>
      <c r="B246" s="307" t="s">
        <v>2383</v>
      </c>
      <c r="C246" s="308" t="s">
        <v>359</v>
      </c>
      <c r="D246" s="309">
        <v>193</v>
      </c>
      <c r="E246" s="310">
        <f t="shared" si="20"/>
        <v>1.17941823515033E-3</v>
      </c>
      <c r="F246" s="311">
        <f t="shared" si="21"/>
        <v>32724.615791361524</v>
      </c>
      <c r="G246" s="312">
        <f>VLOOKUP(B246,'[1]Step 4 Final Title II FY20'!A246:Q643,15,FALSE)</f>
        <v>1661.8338425695001</v>
      </c>
      <c r="H246" s="313">
        <v>1427</v>
      </c>
      <c r="I246" s="310">
        <f t="shared" si="22"/>
        <v>1.2434559536008811E-3</v>
      </c>
      <c r="J246" s="311">
        <f t="shared" si="23"/>
        <v>8625.3580626306193</v>
      </c>
      <c r="K246" s="312">
        <f>VLOOKUP(B246,'[1]Step 4 Final Title II FY20'!A246:Q643,16,FALSE)</f>
        <v>29.293412893493951</v>
      </c>
      <c r="L246" s="314">
        <f t="shared" si="24"/>
        <v>43041.101109455143</v>
      </c>
    </row>
    <row r="247" spans="1:12" ht="15.6" customHeight="1" x14ac:dyDescent="0.3">
      <c r="A247" s="286" t="str">
        <f t="shared" si="19"/>
        <v>7230 Scott County School District 1</v>
      </c>
      <c r="B247" s="307" t="s">
        <v>2384</v>
      </c>
      <c r="C247" s="308" t="s">
        <v>360</v>
      </c>
      <c r="D247" s="309">
        <v>305</v>
      </c>
      <c r="E247" s="310">
        <f t="shared" si="20"/>
        <v>1.863847470056221E-3</v>
      </c>
      <c r="F247" s="311">
        <f t="shared" si="21"/>
        <v>51715.066406037644</v>
      </c>
      <c r="G247" s="312">
        <f>VLOOKUP(B247,'[1]Step 4 Final Title II FY20'!A247:Q644,15,FALSE)</f>
        <v>-781.14032241633686</v>
      </c>
      <c r="H247" s="313">
        <v>1166</v>
      </c>
      <c r="I247" s="310">
        <f t="shared" si="22"/>
        <v>1.0160263783452188E-3</v>
      </c>
      <c r="J247" s="311">
        <f t="shared" si="23"/>
        <v>7047.7697974963567</v>
      </c>
      <c r="K247" s="312">
        <f>VLOOKUP(B247,'[1]Step 4 Final Title II FY20'!A247:Q644,16,FALSE)</f>
        <v>6.3306334191693168</v>
      </c>
      <c r="L247" s="314">
        <f t="shared" si="24"/>
        <v>57988.026514536832</v>
      </c>
    </row>
    <row r="248" spans="1:12" ht="15.6" customHeight="1" x14ac:dyDescent="0.3">
      <c r="A248" s="286" t="str">
        <f t="shared" si="19"/>
        <v>7255 Scott County School District 2</v>
      </c>
      <c r="B248" s="307" t="s">
        <v>2385</v>
      </c>
      <c r="C248" s="308" t="s">
        <v>361</v>
      </c>
      <c r="D248" s="309">
        <v>468</v>
      </c>
      <c r="E248" s="310">
        <f t="shared" si="20"/>
        <v>2.8599364458567586E-3</v>
      </c>
      <c r="F248" s="311">
        <f t="shared" si="21"/>
        <v>79352.954354182351</v>
      </c>
      <c r="G248" s="312">
        <f>VLOOKUP(B248,'[1]Step 4 Final Title II FY20'!A248:Q645,15,FALSE)</f>
        <v>-3186.5329262533633</v>
      </c>
      <c r="H248" s="313">
        <v>2791</v>
      </c>
      <c r="I248" s="310">
        <f t="shared" si="22"/>
        <v>2.4320151131745336E-3</v>
      </c>
      <c r="J248" s="311">
        <f t="shared" si="23"/>
        <v>16869.91895781504</v>
      </c>
      <c r="K248" s="312">
        <f>VLOOKUP(B248,'[1]Step 4 Final Title II FY20'!A248:Q645,16,FALSE)</f>
        <v>-15.314723207829957</v>
      </c>
      <c r="L248" s="314">
        <f t="shared" si="24"/>
        <v>93021.025662536194</v>
      </c>
    </row>
    <row r="249" spans="1:12" ht="15.6" customHeight="1" x14ac:dyDescent="0.3">
      <c r="A249" s="286" t="str">
        <f t="shared" si="19"/>
        <v>7285 Shelby Eastern Schools</v>
      </c>
      <c r="B249" s="307" t="s">
        <v>2386</v>
      </c>
      <c r="C249" s="308" t="s">
        <v>362</v>
      </c>
      <c r="D249" s="309">
        <v>103</v>
      </c>
      <c r="E249" s="310">
        <f t="shared" si="20"/>
        <v>6.2943045710095328E-4</v>
      </c>
      <c r="F249" s="311">
        <f t="shared" si="21"/>
        <v>17464.432261711074</v>
      </c>
      <c r="G249" s="312">
        <f>VLOOKUP(B249,'[1]Step 4 Final Title II FY20'!A249:Q646,15,FALSE)</f>
        <v>2319.0843840797315</v>
      </c>
      <c r="H249" s="313">
        <v>1349</v>
      </c>
      <c r="I249" s="310">
        <f t="shared" si="22"/>
        <v>1.1754884943290741E-3</v>
      </c>
      <c r="J249" s="311">
        <f t="shared" si="23"/>
        <v>8153.8949029353234</v>
      </c>
      <c r="K249" s="312">
        <f>VLOOKUP(B249,'[1]Step 4 Final Title II FY20'!A249:Q646,16,FALSE)</f>
        <v>-4.5666682502851472</v>
      </c>
      <c r="L249" s="314">
        <f t="shared" si="24"/>
        <v>27932.844880475845</v>
      </c>
    </row>
    <row r="250" spans="1:12" ht="15.6" customHeight="1" x14ac:dyDescent="0.3">
      <c r="A250" s="286" t="str">
        <f t="shared" si="19"/>
        <v>7350 Northwestern Con School Corp</v>
      </c>
      <c r="B250" s="307" t="s">
        <v>2387</v>
      </c>
      <c r="C250" s="308" t="s">
        <v>363</v>
      </c>
      <c r="D250" s="309">
        <v>161</v>
      </c>
      <c r="E250" s="310">
        <f t="shared" si="20"/>
        <v>9.838670251772182E-4</v>
      </c>
      <c r="F250" s="311">
        <f t="shared" si="21"/>
        <v>27298.772758596919</v>
      </c>
      <c r="G250" s="312">
        <f>VLOOKUP(B250,'[1]Step 4 Final Title II FY20'!A250:Q647,15,FALSE)</f>
        <v>2169.1447988762229</v>
      </c>
      <c r="H250" s="313">
        <v>1382</v>
      </c>
      <c r="I250" s="310">
        <f t="shared" si="22"/>
        <v>1.2042439578671463E-3</v>
      </c>
      <c r="J250" s="311">
        <f t="shared" si="23"/>
        <v>8353.3600858833342</v>
      </c>
      <c r="K250" s="312">
        <f>VLOOKUP(B250,'[1]Step 4 Final Title II FY20'!A250:Q647,16,FALSE)</f>
        <v>-24.021197183394179</v>
      </c>
      <c r="L250" s="314">
        <f t="shared" si="24"/>
        <v>37797.25644617308</v>
      </c>
    </row>
    <row r="251" spans="1:12" ht="15.6" customHeight="1" x14ac:dyDescent="0.3">
      <c r="A251" s="286" t="str">
        <f t="shared" si="19"/>
        <v>7360 Southwestern Con Sch Shelby Co</v>
      </c>
      <c r="B251" s="307" t="s">
        <v>2388</v>
      </c>
      <c r="C251" s="308" t="s">
        <v>364</v>
      </c>
      <c r="D251" s="309">
        <v>66</v>
      </c>
      <c r="E251" s="310">
        <f t="shared" si="20"/>
        <v>4.0332437056954292E-4</v>
      </c>
      <c r="F251" s="311">
        <f t="shared" si="21"/>
        <v>11190.801255077</v>
      </c>
      <c r="G251" s="312">
        <f>VLOOKUP(B251,'[1]Step 4 Final Title II FY20'!A251:Q648,15,FALSE)</f>
        <v>823.75456240971471</v>
      </c>
      <c r="H251" s="313">
        <v>775</v>
      </c>
      <c r="I251" s="310">
        <f t="shared" si="22"/>
        <v>6.753177043032116E-4</v>
      </c>
      <c r="J251" s="311">
        <f t="shared" si="23"/>
        <v>4684.4095995366015</v>
      </c>
      <c r="K251" s="312">
        <f>VLOOKUP(B251,'[1]Step 4 Final Title II FY20'!A251:Q648,16,FALSE)</f>
        <v>-17.742351922629496</v>
      </c>
      <c r="L251" s="314">
        <f t="shared" si="24"/>
        <v>16681.223065100687</v>
      </c>
    </row>
    <row r="252" spans="1:12" ht="15.6" customHeight="1" x14ac:dyDescent="0.3">
      <c r="A252" s="286" t="str">
        <f t="shared" si="19"/>
        <v>7365 Shelbyville Central Schools</v>
      </c>
      <c r="B252" s="307" t="s">
        <v>2389</v>
      </c>
      <c r="C252" s="308" t="s">
        <v>365</v>
      </c>
      <c r="D252" s="309">
        <v>519</v>
      </c>
      <c r="E252" s="310">
        <f t="shared" si="20"/>
        <v>3.1715961867514056E-3</v>
      </c>
      <c r="F252" s="311">
        <f t="shared" si="21"/>
        <v>88000.391687650947</v>
      </c>
      <c r="G252" s="312">
        <f>VLOOKUP(B252,'[1]Step 4 Final Title II FY20'!A252:Q649,15,FALSE)</f>
        <v>20093.385349064949</v>
      </c>
      <c r="H252" s="313">
        <v>3772</v>
      </c>
      <c r="I252" s="310">
        <f t="shared" si="22"/>
        <v>3.2868366201699536E-3</v>
      </c>
      <c r="J252" s="311">
        <f t="shared" si="23"/>
        <v>22799.474850905885</v>
      </c>
      <c r="K252" s="312">
        <f>VLOOKUP(B252,'[1]Step 4 Final Title II FY20'!A252:Q649,16,FALSE)</f>
        <v>-9.916662717339932</v>
      </c>
      <c r="L252" s="314">
        <f t="shared" si="24"/>
        <v>130883.33522490444</v>
      </c>
    </row>
    <row r="253" spans="1:12" ht="15.6" customHeight="1" x14ac:dyDescent="0.3">
      <c r="A253" s="286" t="str">
        <f t="shared" si="19"/>
        <v>7385 North Spencer County Sch Corp</v>
      </c>
      <c r="B253" s="307" t="s">
        <v>2390</v>
      </c>
      <c r="C253" s="308" t="s">
        <v>366</v>
      </c>
      <c r="D253" s="309">
        <v>170</v>
      </c>
      <c r="E253" s="310">
        <f t="shared" si="20"/>
        <v>1.038865802982156E-3</v>
      </c>
      <c r="F253" s="311">
        <f t="shared" si="21"/>
        <v>28824.791111561964</v>
      </c>
      <c r="G253" s="312">
        <f>VLOOKUP(B253,'[1]Step 4 Final Title II FY20'!A253:Q650,15,FALSE)</f>
        <v>867.47528830856754</v>
      </c>
      <c r="H253" s="313">
        <v>1863</v>
      </c>
      <c r="I253" s="310">
        <f t="shared" si="22"/>
        <v>1.6233766233766235E-3</v>
      </c>
      <c r="J253" s="311">
        <f t="shared" si="23"/>
        <v>11260.716237337663</v>
      </c>
      <c r="K253" s="312">
        <f>VLOOKUP(B253,'[1]Step 4 Final Title II FY20'!A253:Q650,16,FALSE)</f>
        <v>-111.1601222534664</v>
      </c>
      <c r="L253" s="314">
        <f t="shared" si="24"/>
        <v>40841.822514954729</v>
      </c>
    </row>
    <row r="254" spans="1:12" ht="15.6" customHeight="1" x14ac:dyDescent="0.3">
      <c r="A254" s="286" t="str">
        <f t="shared" si="19"/>
        <v>7445 South Spencer County Sch Corp</v>
      </c>
      <c r="B254" s="307" t="s">
        <v>2391</v>
      </c>
      <c r="C254" s="308" t="s">
        <v>367</v>
      </c>
      <c r="D254" s="309">
        <v>207</v>
      </c>
      <c r="E254" s="310">
        <f t="shared" si="20"/>
        <v>1.2649718895135665E-3</v>
      </c>
      <c r="F254" s="311">
        <f t="shared" si="21"/>
        <v>35098.422118196046</v>
      </c>
      <c r="G254" s="312">
        <f>VLOOKUP(B254,'[1]Step 4 Final Title II FY20'!A254:Q651,15,FALSE)</f>
        <v>2847.6057955351935</v>
      </c>
      <c r="H254" s="313">
        <v>1438</v>
      </c>
      <c r="I254" s="310">
        <f t="shared" si="22"/>
        <v>1.2530411081135718E-3</v>
      </c>
      <c r="J254" s="311">
        <f t="shared" si="23"/>
        <v>8691.8464569466232</v>
      </c>
      <c r="K254" s="312">
        <f>VLOOKUP(B254,'[1]Step 4 Final Title II FY20'!A254:Q651,16,FALSE)</f>
        <v>-89.487641559977419</v>
      </c>
      <c r="L254" s="314">
        <f t="shared" si="24"/>
        <v>46548.386729117883</v>
      </c>
    </row>
    <row r="255" spans="1:12" ht="15.6" customHeight="1" x14ac:dyDescent="0.3">
      <c r="A255" s="286" t="str">
        <f t="shared" si="19"/>
        <v>7495 Oregon-Davis School Corp</v>
      </c>
      <c r="B255" s="307" t="s">
        <v>2392</v>
      </c>
      <c r="C255" s="308" t="s">
        <v>368</v>
      </c>
      <c r="D255" s="309">
        <v>101</v>
      </c>
      <c r="E255" s="310">
        <f t="shared" si="20"/>
        <v>6.1720850647763387E-4</v>
      </c>
      <c r="F255" s="311">
        <f t="shared" si="21"/>
        <v>17125.317072163285</v>
      </c>
      <c r="G255" s="312">
        <f>VLOOKUP(B255,'[1]Step 4 Final Title II FY20'!A255:Q652,15,FALSE)</f>
        <v>-4229.4443611101015</v>
      </c>
      <c r="H255" s="313">
        <v>695</v>
      </c>
      <c r="I255" s="310">
        <f t="shared" si="22"/>
        <v>6.0560748966546072E-4</v>
      </c>
      <c r="J255" s="311">
        <f t="shared" si="23"/>
        <v>4200.8576408747585</v>
      </c>
      <c r="K255" s="312">
        <f>VLOOKUP(B255,'[1]Step 4 Final Title II FY20'!A255:Q652,16,FALSE)</f>
        <v>27.625644117714728</v>
      </c>
      <c r="L255" s="314">
        <f t="shared" si="24"/>
        <v>17124.355996045655</v>
      </c>
    </row>
    <row r="256" spans="1:12" ht="15.6" customHeight="1" x14ac:dyDescent="0.3">
      <c r="A256" s="286" t="str">
        <f t="shared" si="19"/>
        <v>7515 North Judson-San Pierre Sch Corp</v>
      </c>
      <c r="B256" s="307" t="s">
        <v>2393</v>
      </c>
      <c r="C256" s="308" t="s">
        <v>369</v>
      </c>
      <c r="D256" s="309">
        <v>194</v>
      </c>
      <c r="E256" s="310">
        <f t="shared" si="20"/>
        <v>1.1855292104619897E-3</v>
      </c>
      <c r="F256" s="311">
        <f t="shared" si="21"/>
        <v>32894.173386135422</v>
      </c>
      <c r="G256" s="312">
        <f>VLOOKUP(B256,'[1]Step 4 Final Title II FY20'!A256:Q653,15,FALSE)</f>
        <v>-5393.2592862784149</v>
      </c>
      <c r="H256" s="313">
        <v>1254</v>
      </c>
      <c r="I256" s="310">
        <f t="shared" si="22"/>
        <v>1.0927076144467448E-3</v>
      </c>
      <c r="J256" s="311">
        <f t="shared" si="23"/>
        <v>7579.6769520243843</v>
      </c>
      <c r="K256" s="312">
        <f>VLOOKUP(B256,'[1]Step 4 Final Title II FY20'!A256:Q653,16,FALSE)</f>
        <v>80.221080355313461</v>
      </c>
      <c r="L256" s="314">
        <f t="shared" si="24"/>
        <v>35160.812132236708</v>
      </c>
    </row>
    <row r="257" spans="1:12" ht="15.6" customHeight="1" x14ac:dyDescent="0.3">
      <c r="A257" s="286" t="str">
        <f t="shared" si="19"/>
        <v>7525 Knox Community School Corp</v>
      </c>
      <c r="B257" s="307" t="s">
        <v>2394</v>
      </c>
      <c r="C257" s="308" t="s">
        <v>370</v>
      </c>
      <c r="D257" s="309">
        <v>318</v>
      </c>
      <c r="E257" s="310">
        <f t="shared" si="20"/>
        <v>1.9432901491077976E-3</v>
      </c>
      <c r="F257" s="311">
        <f t="shared" si="21"/>
        <v>53919.315138098267</v>
      </c>
      <c r="G257" s="312">
        <f>VLOOKUP(B257,'[1]Step 4 Final Title II FY20'!A257:Q654,15,FALSE)</f>
        <v>-6615.6728980483895</v>
      </c>
      <c r="H257" s="313">
        <v>1848</v>
      </c>
      <c r="I257" s="310">
        <f t="shared" si="22"/>
        <v>1.6103059581320451E-3</v>
      </c>
      <c r="J257" s="311">
        <f t="shared" si="23"/>
        <v>11170.050245088567</v>
      </c>
      <c r="K257" s="312">
        <f>VLOOKUP(B257,'[1]Step 4 Final Title II FY20'!A257:Q654,16,FALSE)</f>
        <v>73.675785686356903</v>
      </c>
      <c r="L257" s="314">
        <f t="shared" si="24"/>
        <v>58547.368270824802</v>
      </c>
    </row>
    <row r="258" spans="1:12" ht="15.6" customHeight="1" x14ac:dyDescent="0.3">
      <c r="A258" s="286" t="str">
        <f t="shared" si="19"/>
        <v>7605 Fremont Community Schools</v>
      </c>
      <c r="B258" s="307" t="s">
        <v>2395</v>
      </c>
      <c r="C258" s="308" t="s">
        <v>371</v>
      </c>
      <c r="D258" s="309">
        <v>88</v>
      </c>
      <c r="E258" s="310">
        <f t="shared" si="20"/>
        <v>5.3776582742605719E-4</v>
      </c>
      <c r="F258" s="311">
        <f t="shared" si="21"/>
        <v>14921.068340102665</v>
      </c>
      <c r="G258" s="312">
        <f>VLOOKUP(B258,'[1]Step 4 Final Title II FY20'!A258:Q655,15,FALSE)</f>
        <v>-8331.4594077668044</v>
      </c>
      <c r="H258" s="313">
        <v>997</v>
      </c>
      <c r="I258" s="310">
        <f t="shared" si="22"/>
        <v>8.6876354992297016E-4</v>
      </c>
      <c r="J258" s="311">
        <f t="shared" si="23"/>
        <v>6026.2662848232148</v>
      </c>
      <c r="K258" s="312">
        <f>VLOOKUP(B258,'[1]Step 4 Final Title II FY20'!A258:Q655,16,FALSE)</f>
        <v>-21.925368068436001</v>
      </c>
      <c r="L258" s="314">
        <f t="shared" si="24"/>
        <v>12593.949849090639</v>
      </c>
    </row>
    <row r="259" spans="1:12" ht="15.6" customHeight="1" x14ac:dyDescent="0.3">
      <c r="A259" s="286" t="str">
        <f t="shared" si="19"/>
        <v>7610 Hamilton Community Schools</v>
      </c>
      <c r="B259" s="307" t="s">
        <v>2396</v>
      </c>
      <c r="C259" s="308" t="s">
        <v>372</v>
      </c>
      <c r="D259" s="309">
        <v>92</v>
      </c>
      <c r="E259" s="310">
        <f t="shared" si="20"/>
        <v>5.6220972867269611E-4</v>
      </c>
      <c r="F259" s="311">
        <f t="shared" si="21"/>
        <v>15599.298719198239</v>
      </c>
      <c r="G259" s="312">
        <f>VLOOKUP(B259,'[1]Step 4 Final Title II FY20'!A259:Q656,15,FALSE)</f>
        <v>5296.7191252710672</v>
      </c>
      <c r="H259" s="313">
        <v>646</v>
      </c>
      <c r="I259" s="310">
        <f t="shared" si="22"/>
        <v>5.6290998319983828E-4</v>
      </c>
      <c r="J259" s="311">
        <f t="shared" si="23"/>
        <v>3904.6820661943802</v>
      </c>
      <c r="K259" s="312">
        <f>VLOOKUP(B259,'[1]Step 4 Final Title II FY20'!A259:Q656,16,FALSE)</f>
        <v>-19.307742195767787</v>
      </c>
      <c r="L259" s="314">
        <f t="shared" si="24"/>
        <v>24781.392168467919</v>
      </c>
    </row>
    <row r="260" spans="1:12" ht="15.6" customHeight="1" x14ac:dyDescent="0.3">
      <c r="A260" s="286" t="str">
        <f t="shared" si="19"/>
        <v>7615 MSD Steuben County</v>
      </c>
      <c r="B260" s="307" t="s">
        <v>2397</v>
      </c>
      <c r="C260" s="308" t="s">
        <v>2398</v>
      </c>
      <c r="D260" s="309">
        <v>319</v>
      </c>
      <c r="E260" s="310">
        <f t="shared" si="20"/>
        <v>1.9494011244194573E-3</v>
      </c>
      <c r="F260" s="311">
        <f t="shared" si="21"/>
        <v>54088.872732872158</v>
      </c>
      <c r="G260" s="312">
        <f>VLOOKUP(B260,'[1]Step 4 Final Title II FY20'!A260:Q657,15,FALSE)</f>
        <v>2460.4785030263592</v>
      </c>
      <c r="H260" s="313">
        <v>2698</v>
      </c>
      <c r="I260" s="310">
        <f t="shared" si="22"/>
        <v>2.3509769886581483E-3</v>
      </c>
      <c r="J260" s="311">
        <f t="shared" si="23"/>
        <v>16307.789805870647</v>
      </c>
      <c r="K260" s="312">
        <f>VLOOKUP(B260,'[1]Step 4 Final Title II FY20'!A260:Q657,16,FALSE)</f>
        <v>-36.068193005881767</v>
      </c>
      <c r="L260" s="314">
        <f t="shared" si="24"/>
        <v>72821.072848763288</v>
      </c>
    </row>
    <row r="261" spans="1:12" ht="15.6" customHeight="1" x14ac:dyDescent="0.3">
      <c r="A261" s="286" t="str">
        <f t="shared" si="19"/>
        <v>7645 Northeast School Corp</v>
      </c>
      <c r="B261" s="307" t="s">
        <v>2399</v>
      </c>
      <c r="C261" s="308" t="s">
        <v>373</v>
      </c>
      <c r="D261" s="309">
        <v>177</v>
      </c>
      <c r="E261" s="310">
        <f t="shared" si="20"/>
        <v>1.0816426301637741E-3</v>
      </c>
      <c r="F261" s="311">
        <f t="shared" si="21"/>
        <v>30011.694274979222</v>
      </c>
      <c r="G261" s="312">
        <f>VLOOKUP(B261,'[1]Step 4 Final Title II FY20'!A261:Q658,15,FALSE)</f>
        <v>3120.3286757393325</v>
      </c>
      <c r="H261" s="313">
        <v>1027</v>
      </c>
      <c r="I261" s="310">
        <f t="shared" si="22"/>
        <v>8.9490488041212674E-4</v>
      </c>
      <c r="J261" s="311">
        <f t="shared" si="23"/>
        <v>6207.5982693214055</v>
      </c>
      <c r="K261" s="312">
        <f>VLOOKUP(B261,'[1]Step 4 Final Title II FY20'!A261:Q658,16,FALSE)</f>
        <v>-411.62901993227115</v>
      </c>
      <c r="L261" s="314">
        <f t="shared" si="24"/>
        <v>38927.992200107692</v>
      </c>
    </row>
    <row r="262" spans="1:12" ht="15.6" customHeight="1" x14ac:dyDescent="0.3">
      <c r="A262" s="286" t="str">
        <f t="shared" si="19"/>
        <v>7715 Southwest School Corporation</v>
      </c>
      <c r="B262" s="307" t="s">
        <v>2400</v>
      </c>
      <c r="C262" s="308" t="s">
        <v>2401</v>
      </c>
      <c r="D262" s="309">
        <v>221</v>
      </c>
      <c r="E262" s="310">
        <f t="shared" si="20"/>
        <v>1.3505255438768027E-3</v>
      </c>
      <c r="F262" s="311">
        <f t="shared" si="21"/>
        <v>37472.228445030552</v>
      </c>
      <c r="G262" s="312">
        <f>VLOOKUP(B262,'[1]Step 4 Final Title II FY20'!A262:Q659,15,FALSE)</f>
        <v>-5413.723168778517</v>
      </c>
      <c r="H262" s="313">
        <v>1404</v>
      </c>
      <c r="I262" s="310">
        <f t="shared" si="22"/>
        <v>1.2234142668925278E-3</v>
      </c>
      <c r="J262" s="311">
        <f t="shared" si="23"/>
        <v>8486.3368745153402</v>
      </c>
      <c r="K262" s="312">
        <f>VLOOKUP(B262,'[1]Step 4 Final Title II FY20'!A262:Q659,16,FALSE)</f>
        <v>-175.6187392652173</v>
      </c>
      <c r="L262" s="314">
        <f t="shared" si="24"/>
        <v>40369.223411502157</v>
      </c>
    </row>
    <row r="263" spans="1:12" ht="15.6" customHeight="1" x14ac:dyDescent="0.3">
      <c r="A263" s="286" t="str">
        <f t="shared" ref="A263:A326" si="25">B263&amp;" "&amp;C263</f>
        <v>7775 Switzerland County School Corp</v>
      </c>
      <c r="B263" s="307" t="s">
        <v>2402</v>
      </c>
      <c r="C263" s="308" t="s">
        <v>374</v>
      </c>
      <c r="D263" s="309">
        <v>428</v>
      </c>
      <c r="E263" s="310">
        <f t="shared" ref="E263:E326" si="26">D263/$D$5</f>
        <v>2.6154974333903692E-3</v>
      </c>
      <c r="F263" s="311">
        <f t="shared" ref="F263:F326" si="27">E263*$F$2</f>
        <v>72570.650563226605</v>
      </c>
      <c r="G263" s="312">
        <f>VLOOKUP(B263,'[1]Step 4 Final Title II FY20'!A263:Q660,15,FALSE)</f>
        <v>7942.6723863997468</v>
      </c>
      <c r="H263" s="313">
        <v>2002</v>
      </c>
      <c r="I263" s="310">
        <f t="shared" ref="I263:I326" si="28">H263/$H$5</f>
        <v>1.7444981213097155E-3</v>
      </c>
      <c r="J263" s="311">
        <f t="shared" ref="J263:J326" si="29">I263*$J$2</f>
        <v>12100.887765512614</v>
      </c>
      <c r="K263" s="312">
        <f>VLOOKUP(B263,'[1]Step 4 Final Title II FY20'!A263:Q660,16,FALSE)</f>
        <v>-355.22557756923925</v>
      </c>
      <c r="L263" s="314">
        <f t="shared" ref="L263:L326" si="30">F263+G263+J263+K263</f>
        <v>92258.985137569718</v>
      </c>
    </row>
    <row r="264" spans="1:12" ht="15.6" customHeight="1" x14ac:dyDescent="0.3">
      <c r="A264" s="286" t="str">
        <f t="shared" si="25"/>
        <v>7855 Lafayette School Corporation</v>
      </c>
      <c r="B264" s="307" t="s">
        <v>2403</v>
      </c>
      <c r="C264" s="308" t="s">
        <v>375</v>
      </c>
      <c r="D264" s="309">
        <v>2029</v>
      </c>
      <c r="E264" s="310">
        <f t="shared" si="26"/>
        <v>1.2399168907357615E-2</v>
      </c>
      <c r="F264" s="311">
        <f t="shared" si="27"/>
        <v>344032.3597962308</v>
      </c>
      <c r="G264" s="312">
        <f>VLOOKUP(B264,'[1]Step 4 Final Title II FY20'!A264:Q661,15,FALSE)</f>
        <v>-25155.242830132775</v>
      </c>
      <c r="H264" s="313">
        <v>9898</v>
      </c>
      <c r="I264" s="310">
        <f t="shared" si="28"/>
        <v>8.6248963060557259E-3</v>
      </c>
      <c r="J264" s="311">
        <f t="shared" si="29"/>
        <v>59827.466085436492</v>
      </c>
      <c r="K264" s="312">
        <f>VLOOKUP(B264,'[1]Step 4 Final Title II FY20'!A264:Q661,16,FALSE)</f>
        <v>438.98562597476848</v>
      </c>
      <c r="L264" s="314">
        <f t="shared" si="30"/>
        <v>379143.56867750926</v>
      </c>
    </row>
    <row r="265" spans="1:12" ht="15.6" customHeight="1" x14ac:dyDescent="0.3">
      <c r="A265" s="286" t="str">
        <f t="shared" si="25"/>
        <v>7865 Tippecanoe School Corp</v>
      </c>
      <c r="B265" s="307" t="s">
        <v>2404</v>
      </c>
      <c r="C265" s="308" t="s">
        <v>376</v>
      </c>
      <c r="D265" s="309">
        <v>1493</v>
      </c>
      <c r="E265" s="310">
        <f t="shared" si="26"/>
        <v>9.1236861403079933E-3</v>
      </c>
      <c r="F265" s="311">
        <f t="shared" si="27"/>
        <v>253149.48899742361</v>
      </c>
      <c r="G265" s="312">
        <f>VLOOKUP(B265,'[1]Step 4 Final Title II FY20'!A265:Q662,15,FALSE)</f>
        <v>-21035.943521266308</v>
      </c>
      <c r="H265" s="313">
        <v>15837</v>
      </c>
      <c r="I265" s="310">
        <f t="shared" si="28"/>
        <v>1.3800008365225757E-2</v>
      </c>
      <c r="J265" s="311">
        <f t="shared" si="29"/>
        <v>95725.154616595042</v>
      </c>
      <c r="K265" s="312">
        <f>VLOOKUP(B265,'[1]Step 4 Final Title II FY20'!A265:Q662,16,FALSE)</f>
        <v>940.92497327689489</v>
      </c>
      <c r="L265" s="314">
        <f t="shared" si="30"/>
        <v>328779.62506602926</v>
      </c>
    </row>
    <row r="266" spans="1:12" ht="15.6" customHeight="1" x14ac:dyDescent="0.3">
      <c r="A266" s="286" t="str">
        <f t="shared" si="25"/>
        <v>7875 West Lafayette Com School Corp</v>
      </c>
      <c r="B266" s="307" t="s">
        <v>2405</v>
      </c>
      <c r="C266" s="308" t="s">
        <v>377</v>
      </c>
      <c r="D266" s="309">
        <v>202</v>
      </c>
      <c r="E266" s="310">
        <f t="shared" si="26"/>
        <v>1.2344170129552677E-3</v>
      </c>
      <c r="F266" s="311">
        <f t="shared" si="27"/>
        <v>34250.63414432657</v>
      </c>
      <c r="G266" s="312">
        <f>VLOOKUP(B266,'[1]Step 4 Final Title II FY20'!A266:Q663,15,FALSE)</f>
        <v>-1144.6508582695897</v>
      </c>
      <c r="H266" s="313">
        <v>2468</v>
      </c>
      <c r="I266" s="310">
        <f t="shared" si="28"/>
        <v>2.1505601215746142E-3</v>
      </c>
      <c r="J266" s="311">
        <f t="shared" si="29"/>
        <v>14917.577924717847</v>
      </c>
      <c r="K266" s="312">
        <f>VLOOKUP(B266,'[1]Step 4 Final Title II FY20'!A266:Q663,16,FALSE)</f>
        <v>132.74126215675642</v>
      </c>
      <c r="L266" s="314">
        <f t="shared" si="30"/>
        <v>48156.302472931588</v>
      </c>
    </row>
    <row r="267" spans="1:12" ht="15.6" customHeight="1" x14ac:dyDescent="0.3">
      <c r="A267" s="286" t="str">
        <f t="shared" si="25"/>
        <v>7935 Tri-Central Community Schools</v>
      </c>
      <c r="B267" s="307" t="s">
        <v>2406</v>
      </c>
      <c r="C267" s="308" t="s">
        <v>378</v>
      </c>
      <c r="D267" s="309">
        <v>53</v>
      </c>
      <c r="E267" s="310">
        <f t="shared" si="26"/>
        <v>3.2388169151796625E-4</v>
      </c>
      <c r="F267" s="311">
        <f t="shared" si="27"/>
        <v>8986.5525230163767</v>
      </c>
      <c r="G267" s="312">
        <f>VLOOKUP(B267,'[1]Step 4 Final Title II FY20'!A267:Q664,15,FALSE)</f>
        <v>935.5593435116607</v>
      </c>
      <c r="H267" s="313">
        <v>722</v>
      </c>
      <c r="I267" s="310">
        <f t="shared" si="28"/>
        <v>6.291346871057016E-4</v>
      </c>
      <c r="J267" s="311">
        <f t="shared" si="29"/>
        <v>4364.0564269231309</v>
      </c>
      <c r="K267" s="312">
        <f>VLOOKUP(B267,'[1]Step 4 Final Title II FY20'!A267:Q664,16,FALSE)</f>
        <v>-176.95344628075782</v>
      </c>
      <c r="L267" s="314">
        <f t="shared" si="30"/>
        <v>14109.214847170409</v>
      </c>
    </row>
    <row r="268" spans="1:12" ht="15.6" customHeight="1" x14ac:dyDescent="0.3">
      <c r="A268" s="286" t="str">
        <f t="shared" si="25"/>
        <v>7945 Tipton Community School Corp</v>
      </c>
      <c r="B268" s="307" t="s">
        <v>2407</v>
      </c>
      <c r="C268" s="308" t="s">
        <v>379</v>
      </c>
      <c r="D268" s="309">
        <v>149</v>
      </c>
      <c r="E268" s="310">
        <f t="shared" si="26"/>
        <v>9.1053532143730144E-4</v>
      </c>
      <c r="F268" s="311">
        <f t="shared" si="27"/>
        <v>25264.081621310193</v>
      </c>
      <c r="G268" s="312">
        <f>VLOOKUP(B268,'[1]Step 4 Final Title II FY20'!A268:Q665,15,FALSE)</f>
        <v>-2507.7120163375439</v>
      </c>
      <c r="H268" s="313">
        <v>1514</v>
      </c>
      <c r="I268" s="310">
        <f t="shared" si="28"/>
        <v>1.3192658120194352E-3</v>
      </c>
      <c r="J268" s="311">
        <f t="shared" si="29"/>
        <v>9151.2208176753738</v>
      </c>
      <c r="K268" s="312">
        <f>VLOOKUP(B268,'[1]Step 4 Final Title II FY20'!A268:Q665,16,FALSE)</f>
        <v>-426.03211216837371</v>
      </c>
      <c r="L268" s="314">
        <f t="shared" si="30"/>
        <v>31481.55831047965</v>
      </c>
    </row>
    <row r="269" spans="1:12" ht="15.6" customHeight="1" x14ac:dyDescent="0.3">
      <c r="A269" s="286" t="str">
        <f t="shared" si="25"/>
        <v>7950 Union Co/Clg Corner Joint Sch Dist</v>
      </c>
      <c r="B269" s="307" t="s">
        <v>2408</v>
      </c>
      <c r="C269" s="308" t="s">
        <v>380</v>
      </c>
      <c r="D269" s="309">
        <v>142</v>
      </c>
      <c r="E269" s="310">
        <f t="shared" si="26"/>
        <v>8.677584942556832E-4</v>
      </c>
      <c r="F269" s="311">
        <f t="shared" si="27"/>
        <v>24077.178457892936</v>
      </c>
      <c r="G269" s="312">
        <f>VLOOKUP(B269,'[1]Step 4 Final Title II FY20'!A269:Q666,15,FALSE)</f>
        <v>-4573.0442574159715</v>
      </c>
      <c r="H269" s="313">
        <v>1135</v>
      </c>
      <c r="I269" s="310">
        <f t="shared" si="28"/>
        <v>9.8901367017309037E-4</v>
      </c>
      <c r="J269" s="311">
        <f t="shared" si="29"/>
        <v>6860.3934135148929</v>
      </c>
      <c r="K269" s="312">
        <f>VLOOKUP(B269,'[1]Step 4 Final Title II FY20'!A269:Q666,16,FALSE)</f>
        <v>-655.69447524804582</v>
      </c>
      <c r="L269" s="314">
        <f t="shared" si="30"/>
        <v>25708.833138743812</v>
      </c>
    </row>
    <row r="270" spans="1:12" ht="15.6" customHeight="1" x14ac:dyDescent="0.3">
      <c r="A270" s="286" t="str">
        <f t="shared" si="25"/>
        <v>7995 Evansville Vanderburgh School Corp</v>
      </c>
      <c r="B270" s="307" t="s">
        <v>2409</v>
      </c>
      <c r="C270" s="308" t="s">
        <v>2410</v>
      </c>
      <c r="D270" s="309">
        <v>4649</v>
      </c>
      <c r="E270" s="310">
        <f t="shared" si="26"/>
        <v>2.8409924223906136E-2</v>
      </c>
      <c r="F270" s="311">
        <f t="shared" si="27"/>
        <v>788273.25810383284</v>
      </c>
      <c r="G270" s="312">
        <f>VLOOKUP(B270,'[1]Step 4 Final Title II FY20'!A270:Q667,15,FALSE)</f>
        <v>-10647.397024442325</v>
      </c>
      <c r="H270" s="313">
        <v>27588</v>
      </c>
      <c r="I270" s="310">
        <f t="shared" si="28"/>
        <v>2.4039567517828389E-2</v>
      </c>
      <c r="J270" s="311">
        <f t="shared" si="29"/>
        <v>166752.89294453649</v>
      </c>
      <c r="K270" s="312">
        <f>VLOOKUP(B270,'[1]Step 4 Final Title II FY20'!A270:Q667,16,FALSE)</f>
        <v>-1956.3628165842383</v>
      </c>
      <c r="L270" s="314">
        <f t="shared" si="30"/>
        <v>942422.39120734273</v>
      </c>
    </row>
    <row r="271" spans="1:12" ht="15.6" customHeight="1" x14ac:dyDescent="0.3">
      <c r="A271" s="286" t="str">
        <f t="shared" si="25"/>
        <v>8010 North Vermillion Com Sch Corp</v>
      </c>
      <c r="B271" s="307" t="s">
        <v>2411</v>
      </c>
      <c r="C271" s="308" t="s">
        <v>381</v>
      </c>
      <c r="D271" s="309">
        <v>128</v>
      </c>
      <c r="E271" s="310">
        <f t="shared" si="26"/>
        <v>7.8220483989244682E-4</v>
      </c>
      <c r="F271" s="311">
        <f t="shared" si="27"/>
        <v>21703.372131058422</v>
      </c>
      <c r="G271" s="312">
        <f>VLOOKUP(B271,'[1]Step 4 Final Title II FY20'!A271:Q668,15,FALSE)</f>
        <v>3804.1822644996937</v>
      </c>
      <c r="H271" s="313">
        <v>666</v>
      </c>
      <c r="I271" s="310">
        <f t="shared" si="28"/>
        <v>5.80337536859276E-4</v>
      </c>
      <c r="J271" s="311">
        <f t="shared" si="29"/>
        <v>4025.570055859841</v>
      </c>
      <c r="K271" s="312">
        <f>VLOOKUP(B271,'[1]Step 4 Final Title II FY20'!A271:Q668,16,FALSE)</f>
        <v>-197.7402222548335</v>
      </c>
      <c r="L271" s="314">
        <f t="shared" si="30"/>
        <v>29335.384229163123</v>
      </c>
    </row>
    <row r="272" spans="1:12" ht="15.6" customHeight="1" x14ac:dyDescent="0.3">
      <c r="A272" s="286" t="str">
        <f t="shared" si="25"/>
        <v>8020 South Vermillion Com Sch Corp</v>
      </c>
      <c r="B272" s="307" t="s">
        <v>2412</v>
      </c>
      <c r="C272" s="308" t="s">
        <v>382</v>
      </c>
      <c r="D272" s="309">
        <v>272</v>
      </c>
      <c r="E272" s="310">
        <f t="shared" si="26"/>
        <v>1.6621852847714495E-3</v>
      </c>
      <c r="F272" s="311">
        <f t="shared" si="27"/>
        <v>46119.665778499148</v>
      </c>
      <c r="G272" s="312">
        <f>VLOOKUP(B272,'[1]Step 4 Final Title II FY20'!A272:Q669,15,FALSE)</f>
        <v>8181.1599093064433</v>
      </c>
      <c r="H272" s="313">
        <v>1862</v>
      </c>
      <c r="I272" s="310">
        <f t="shared" si="28"/>
        <v>1.6225052456936514E-3</v>
      </c>
      <c r="J272" s="311">
        <f t="shared" si="29"/>
        <v>11254.671837854388</v>
      </c>
      <c r="K272" s="312">
        <f>VLOOKUP(B272,'[1]Step 4 Final Title II FY20'!A272:Q669,16,FALSE)</f>
        <v>-442.60010584605152</v>
      </c>
      <c r="L272" s="314">
        <f t="shared" si="30"/>
        <v>65112.897419813919</v>
      </c>
    </row>
    <row r="273" spans="1:12" ht="15.6" customHeight="1" x14ac:dyDescent="0.3">
      <c r="A273" s="286" t="str">
        <f t="shared" si="25"/>
        <v>8030 Vigo County School Corp</v>
      </c>
      <c r="B273" s="307" t="s">
        <v>2413</v>
      </c>
      <c r="C273" s="308" t="s">
        <v>383</v>
      </c>
      <c r="D273" s="309">
        <v>3597</v>
      </c>
      <c r="E273" s="310">
        <f t="shared" si="26"/>
        <v>2.1981178196040087E-2</v>
      </c>
      <c r="F273" s="311">
        <f t="shared" si="27"/>
        <v>609898.66840169637</v>
      </c>
      <c r="G273" s="312">
        <f>VLOOKUP(B273,'[1]Step 4 Final Title II FY20'!A273:Q670,15,FALSE)</f>
        <v>-96374.763087277708</v>
      </c>
      <c r="H273" s="313">
        <v>15030</v>
      </c>
      <c r="I273" s="310">
        <f t="shared" si="28"/>
        <v>1.3096806575067444E-2</v>
      </c>
      <c r="J273" s="311">
        <f t="shared" si="29"/>
        <v>90847.324233593696</v>
      </c>
      <c r="K273" s="312">
        <f>VLOOKUP(B273,'[1]Step 4 Final Title II FY20'!A273:Q670,16,FALSE)</f>
        <v>-256.01146348846669</v>
      </c>
      <c r="L273" s="314">
        <f t="shared" si="30"/>
        <v>604115.21808452392</v>
      </c>
    </row>
    <row r="274" spans="1:12" ht="15.6" customHeight="1" x14ac:dyDescent="0.3">
      <c r="A274" s="286" t="str">
        <f t="shared" si="25"/>
        <v>8045 Manchester Community Schools</v>
      </c>
      <c r="B274" s="307" t="s">
        <v>2414</v>
      </c>
      <c r="C274" s="308" t="s">
        <v>384</v>
      </c>
      <c r="D274" s="309">
        <v>186</v>
      </c>
      <c r="E274" s="310">
        <f t="shared" si="26"/>
        <v>1.1366414079687118E-3</v>
      </c>
      <c r="F274" s="311">
        <f t="shared" si="27"/>
        <v>31537.712627944271</v>
      </c>
      <c r="G274" s="312">
        <f>VLOOKUP(B274,'[1]Step 4 Final Title II FY20'!A274:Q671,15,FALSE)</f>
        <v>1423.8995626155447</v>
      </c>
      <c r="H274" s="313">
        <v>1317</v>
      </c>
      <c r="I274" s="310">
        <f t="shared" si="28"/>
        <v>1.1476044084739736E-3</v>
      </c>
      <c r="J274" s="311">
        <f t="shared" si="29"/>
        <v>7960.4741194705857</v>
      </c>
      <c r="K274" s="312">
        <f>VLOOKUP(B274,'[1]Step 4 Final Title II FY20'!A274:Q671,16,FALSE)</f>
        <v>-77.602256668473274</v>
      </c>
      <c r="L274" s="314">
        <f t="shared" si="30"/>
        <v>40844.484053361928</v>
      </c>
    </row>
    <row r="275" spans="1:12" ht="15.6" customHeight="1" x14ac:dyDescent="0.3">
      <c r="A275" s="286" t="str">
        <f t="shared" si="25"/>
        <v>8050 MSD Wabash County Schools</v>
      </c>
      <c r="B275" s="307" t="s">
        <v>2415</v>
      </c>
      <c r="C275" s="308" t="s">
        <v>2416</v>
      </c>
      <c r="D275" s="309">
        <v>206</v>
      </c>
      <c r="E275" s="310">
        <f t="shared" si="26"/>
        <v>1.2588609142019066E-3</v>
      </c>
      <c r="F275" s="311">
        <f t="shared" si="27"/>
        <v>34928.864523422148</v>
      </c>
      <c r="G275" s="312">
        <f>VLOOKUP(B275,'[1]Step 4 Final Title II FY20'!A275:Q672,15,FALSE)</f>
        <v>961.60914780905296</v>
      </c>
      <c r="H275" s="313">
        <v>2007</v>
      </c>
      <c r="I275" s="310">
        <f t="shared" si="28"/>
        <v>1.748855009724575E-3</v>
      </c>
      <c r="J275" s="311">
        <f t="shared" si="29"/>
        <v>12131.10976292898</v>
      </c>
      <c r="K275" s="312">
        <f>VLOOKUP(B275,'[1]Step 4 Final Title II FY20'!A275:Q672,16,FALSE)</f>
        <v>-23.585756920507265</v>
      </c>
      <c r="L275" s="314">
        <f t="shared" si="30"/>
        <v>47997.997677239677</v>
      </c>
    </row>
    <row r="276" spans="1:12" ht="15.6" customHeight="1" x14ac:dyDescent="0.3">
      <c r="A276" s="286" t="str">
        <f t="shared" si="25"/>
        <v>8060 Wabash City Schools</v>
      </c>
      <c r="B276" s="307" t="s">
        <v>2417</v>
      </c>
      <c r="C276" s="308" t="s">
        <v>385</v>
      </c>
      <c r="D276" s="309">
        <v>223</v>
      </c>
      <c r="E276" s="310">
        <f t="shared" si="26"/>
        <v>1.3627474945001221E-3</v>
      </c>
      <c r="F276" s="311">
        <f t="shared" si="27"/>
        <v>37811.343634578341</v>
      </c>
      <c r="G276" s="312">
        <f>VLOOKUP(B276,'[1]Step 4 Final Title II FY20'!A276:Q673,15,FALSE)</f>
        <v>-824.11447566655988</v>
      </c>
      <c r="H276" s="313">
        <v>1311</v>
      </c>
      <c r="I276" s="310">
        <f t="shared" si="28"/>
        <v>1.1423761423761424E-3</v>
      </c>
      <c r="J276" s="311">
        <f t="shared" si="29"/>
        <v>7924.2077225709481</v>
      </c>
      <c r="K276" s="312">
        <f>VLOOKUP(B276,'[1]Step 4 Final Title II FY20'!A276:Q673,16,FALSE)</f>
        <v>-51.311319566297243</v>
      </c>
      <c r="L276" s="314">
        <f t="shared" si="30"/>
        <v>44860.125561916437</v>
      </c>
    </row>
    <row r="277" spans="1:12" ht="15.6" customHeight="1" x14ac:dyDescent="0.3">
      <c r="A277" s="286" t="str">
        <f t="shared" si="25"/>
        <v>8115 MSD Warren County</v>
      </c>
      <c r="B277" s="307" t="s">
        <v>2418</v>
      </c>
      <c r="C277" s="308" t="s">
        <v>2419</v>
      </c>
      <c r="D277" s="309">
        <v>145</v>
      </c>
      <c r="E277" s="310">
        <f t="shared" si="26"/>
        <v>8.8609142019066241E-4</v>
      </c>
      <c r="F277" s="311">
        <f t="shared" si="27"/>
        <v>24585.851242214616</v>
      </c>
      <c r="G277" s="312">
        <f>VLOOKUP(B277,'[1]Step 4 Final Title II FY20'!A277:Q674,15,FALSE)</f>
        <v>7205.9726163959458</v>
      </c>
      <c r="H277" s="313">
        <v>1154</v>
      </c>
      <c r="I277" s="310">
        <f t="shared" si="28"/>
        <v>1.0055698461495562E-3</v>
      </c>
      <c r="J277" s="311">
        <f t="shared" si="29"/>
        <v>6975.2370036970806</v>
      </c>
      <c r="K277" s="312">
        <f>VLOOKUP(B277,'[1]Step 4 Final Title II FY20'!A277:Q674,16,FALSE)</f>
        <v>205.16131739869707</v>
      </c>
      <c r="L277" s="314">
        <f t="shared" si="30"/>
        <v>38972.222179706339</v>
      </c>
    </row>
    <row r="278" spans="1:12" ht="15.6" customHeight="1" x14ac:dyDescent="0.3">
      <c r="A278" s="286" t="str">
        <f t="shared" si="25"/>
        <v>8130 Warrick County School Corp</v>
      </c>
      <c r="B278" s="307" t="s">
        <v>2420</v>
      </c>
      <c r="C278" s="308" t="s">
        <v>386</v>
      </c>
      <c r="D278" s="309">
        <v>806</v>
      </c>
      <c r="E278" s="310">
        <f t="shared" si="26"/>
        <v>4.9254461011977516E-3</v>
      </c>
      <c r="F278" s="311">
        <f t="shared" si="27"/>
        <v>136663.42138775851</v>
      </c>
      <c r="G278" s="312">
        <f>VLOOKUP(B278,'[1]Step 4 Final Title II FY20'!A278:Q675,15,FALSE)</f>
        <v>-7489.4539346679521</v>
      </c>
      <c r="H278" s="313">
        <v>11049</v>
      </c>
      <c r="I278" s="310">
        <f t="shared" si="28"/>
        <v>9.6278520191563667E-3</v>
      </c>
      <c r="J278" s="311">
        <f t="shared" si="29"/>
        <v>66784.56989068375</v>
      </c>
      <c r="K278" s="312">
        <f>VLOOKUP(B278,'[1]Step 4 Final Title II FY20'!A278:Q675,16,FALSE)</f>
        <v>-681.4217960248352</v>
      </c>
      <c r="L278" s="314">
        <f t="shared" si="30"/>
        <v>195277.11554774948</v>
      </c>
    </row>
    <row r="279" spans="1:12" ht="15.6" customHeight="1" x14ac:dyDescent="0.3">
      <c r="A279" s="286" t="str">
        <f t="shared" si="25"/>
        <v>8205 Salem Community Schools</v>
      </c>
      <c r="B279" s="307" t="s">
        <v>2421</v>
      </c>
      <c r="C279" s="308" t="s">
        <v>387</v>
      </c>
      <c r="D279" s="309">
        <v>346</v>
      </c>
      <c r="E279" s="310">
        <f t="shared" si="26"/>
        <v>2.1143974578342706E-3</v>
      </c>
      <c r="F279" s="311">
        <f t="shared" si="27"/>
        <v>58666.927791767303</v>
      </c>
      <c r="G279" s="312">
        <f>VLOOKUP(B279,'[1]Step 4 Final Title II FY20'!A279:Q676,15,FALSE)</f>
        <v>4804.6727890589609</v>
      </c>
      <c r="H279" s="313">
        <v>2014</v>
      </c>
      <c r="I279" s="310">
        <f t="shared" si="28"/>
        <v>1.754954653505378E-3</v>
      </c>
      <c r="J279" s="311">
        <f t="shared" si="29"/>
        <v>12173.42055931189</v>
      </c>
      <c r="K279" s="312">
        <f>VLOOKUP(B279,'[1]Step 4 Final Title II FY20'!A279:Q676,16,FALSE)</f>
        <v>61.690482266776598</v>
      </c>
      <c r="L279" s="314">
        <f t="shared" si="30"/>
        <v>75706.711622404924</v>
      </c>
    </row>
    <row r="280" spans="1:12" ht="15.6" customHeight="1" x14ac:dyDescent="0.3">
      <c r="A280" s="286" t="str">
        <f t="shared" si="25"/>
        <v>8215 East Washington School Corp</v>
      </c>
      <c r="B280" s="307" t="s">
        <v>2422</v>
      </c>
      <c r="C280" s="308" t="s">
        <v>388</v>
      </c>
      <c r="D280" s="309">
        <v>300</v>
      </c>
      <c r="E280" s="310">
        <f t="shared" si="26"/>
        <v>1.8332925934979223E-3</v>
      </c>
      <c r="F280" s="311">
        <f t="shared" si="27"/>
        <v>50867.278432168176</v>
      </c>
      <c r="G280" s="312">
        <f>VLOOKUP(B280,'[1]Step 4 Final Title II FY20'!A280:Q677,15,FALSE)</f>
        <v>-1243.4307372228286</v>
      </c>
      <c r="H280" s="313">
        <v>1741</v>
      </c>
      <c r="I280" s="310">
        <f t="shared" si="28"/>
        <v>1.5170685460540532E-3</v>
      </c>
      <c r="J280" s="311">
        <f t="shared" si="29"/>
        <v>10523.299500378353</v>
      </c>
      <c r="K280" s="312">
        <f>VLOOKUP(B280,'[1]Step 4 Final Title II FY20'!A280:Q677,16,FALSE)</f>
        <v>58.626314072549576</v>
      </c>
      <c r="L280" s="314">
        <f t="shared" si="30"/>
        <v>60205.773509396247</v>
      </c>
    </row>
    <row r="281" spans="1:12" ht="15.6" customHeight="1" x14ac:dyDescent="0.3">
      <c r="A281" s="286" t="str">
        <f t="shared" si="25"/>
        <v>8220 West Washington School Corp</v>
      </c>
      <c r="B281" s="307" t="s">
        <v>2423</v>
      </c>
      <c r="C281" s="308" t="s">
        <v>389</v>
      </c>
      <c r="D281" s="309">
        <v>140</v>
      </c>
      <c r="E281" s="310">
        <f t="shared" si="26"/>
        <v>8.5553654363236368E-4</v>
      </c>
      <c r="F281" s="311">
        <f t="shared" si="27"/>
        <v>23738.063268345148</v>
      </c>
      <c r="G281" s="312">
        <f>VLOOKUP(B281,'[1]Step 4 Final Title II FY20'!A281:Q678,15,FALSE)</f>
        <v>-3512.1019877009312</v>
      </c>
      <c r="H281" s="313">
        <v>1015</v>
      </c>
      <c r="I281" s="310">
        <f t="shared" si="28"/>
        <v>8.8444834821646415E-4</v>
      </c>
      <c r="J281" s="311">
        <f t="shared" si="29"/>
        <v>6135.0654755221294</v>
      </c>
      <c r="K281" s="312">
        <f>VLOOKUP(B281,'[1]Step 4 Final Title II FY20'!A281:Q678,16,FALSE)</f>
        <v>-2.2154917858097178</v>
      </c>
      <c r="L281" s="314">
        <f t="shared" si="30"/>
        <v>26358.811264380536</v>
      </c>
    </row>
    <row r="282" spans="1:12" ht="15.6" customHeight="1" x14ac:dyDescent="0.3">
      <c r="A282" s="286" t="str">
        <f t="shared" si="25"/>
        <v>8305 Nettle Creek School Corporation</v>
      </c>
      <c r="B282" s="307" t="s">
        <v>2424</v>
      </c>
      <c r="C282" s="308" t="s">
        <v>2425</v>
      </c>
      <c r="D282" s="309">
        <v>176</v>
      </c>
      <c r="E282" s="310">
        <f t="shared" si="26"/>
        <v>1.0755316548521144E-3</v>
      </c>
      <c r="F282" s="311">
        <f t="shared" si="27"/>
        <v>29842.136680205331</v>
      </c>
      <c r="G282" s="312">
        <f>VLOOKUP(B282,'[1]Step 4 Final Title II FY20'!A282:Q679,15,FALSE)</f>
        <v>-3059.2969414958643</v>
      </c>
      <c r="H282" s="313">
        <v>1267</v>
      </c>
      <c r="I282" s="310">
        <f t="shared" si="28"/>
        <v>1.1040355243253793E-3</v>
      </c>
      <c r="J282" s="311">
        <f t="shared" si="29"/>
        <v>7658.2541453069334</v>
      </c>
      <c r="K282" s="312">
        <f>VLOOKUP(B282,'[1]Step 4 Final Title II FY20'!A282:Q679,16,FALSE)</f>
        <v>-5.5658535310067236</v>
      </c>
      <c r="L282" s="314">
        <f t="shared" si="30"/>
        <v>34435.528030485395</v>
      </c>
    </row>
    <row r="283" spans="1:12" ht="15.6" customHeight="1" x14ac:dyDescent="0.3">
      <c r="A283" s="286" t="str">
        <f t="shared" si="25"/>
        <v>8355 Western Wayne Schools</v>
      </c>
      <c r="B283" s="307" t="s">
        <v>2426</v>
      </c>
      <c r="C283" s="308" t="s">
        <v>390</v>
      </c>
      <c r="D283" s="309">
        <v>119</v>
      </c>
      <c r="E283" s="310">
        <f t="shared" si="26"/>
        <v>7.2720606208750917E-4</v>
      </c>
      <c r="F283" s="311">
        <f t="shared" si="27"/>
        <v>20177.353778093377</v>
      </c>
      <c r="G283" s="312">
        <f>VLOOKUP(B283,'[1]Step 4 Final Title II FY20'!A283:Q680,15,FALSE)</f>
        <v>-2542.5006165877276</v>
      </c>
      <c r="H283" s="313">
        <v>1000</v>
      </c>
      <c r="I283" s="310">
        <f t="shared" si="28"/>
        <v>8.7137768297188586E-4</v>
      </c>
      <c r="J283" s="311">
        <f t="shared" si="29"/>
        <v>6044.3994832730341</v>
      </c>
      <c r="K283" s="312">
        <f>VLOOKUP(B283,'[1]Step 4 Final Title II FY20'!A283:Q680,16,FALSE)</f>
        <v>-21.814347481688856</v>
      </c>
      <c r="L283" s="314">
        <f t="shared" si="30"/>
        <v>23657.438297296994</v>
      </c>
    </row>
    <row r="284" spans="1:12" ht="15.6" customHeight="1" x14ac:dyDescent="0.3">
      <c r="A284" s="286" t="str">
        <f t="shared" si="25"/>
        <v>8360 Centerville-Abington Com Schs</v>
      </c>
      <c r="B284" s="307" t="s">
        <v>2427</v>
      </c>
      <c r="C284" s="308" t="s">
        <v>391</v>
      </c>
      <c r="D284" s="309">
        <v>227</v>
      </c>
      <c r="E284" s="310">
        <f t="shared" si="26"/>
        <v>1.3871913957467612E-3</v>
      </c>
      <c r="F284" s="311">
        <f t="shared" si="27"/>
        <v>38489.574013673919</v>
      </c>
      <c r="G284" s="312">
        <f>VLOOKUP(B284,'[1]Step 4 Final Title II FY20'!A284:Q681,15,FALSE)</f>
        <v>-1822.3652822799195</v>
      </c>
      <c r="H284" s="313">
        <v>1548</v>
      </c>
      <c r="I284" s="310">
        <f t="shared" si="28"/>
        <v>1.3488926532404793E-3</v>
      </c>
      <c r="J284" s="311">
        <f t="shared" si="29"/>
        <v>9356.7304001066568</v>
      </c>
      <c r="K284" s="312">
        <f>VLOOKUP(B284,'[1]Step 4 Final Title II FY20'!A284:Q681,16,FALSE)</f>
        <v>-2.4017668087108177</v>
      </c>
      <c r="L284" s="314">
        <f t="shared" si="30"/>
        <v>46021.537364691947</v>
      </c>
    </row>
    <row r="285" spans="1:12" ht="15.6" customHeight="1" x14ac:dyDescent="0.3">
      <c r="A285" s="286" t="str">
        <f t="shared" si="25"/>
        <v>8375 Northeastern Wayne Schools</v>
      </c>
      <c r="B285" s="307" t="s">
        <v>2428</v>
      </c>
      <c r="C285" s="308" t="s">
        <v>392</v>
      </c>
      <c r="D285" s="309">
        <v>201</v>
      </c>
      <c r="E285" s="310">
        <f t="shared" si="26"/>
        <v>1.2283060376436078E-3</v>
      </c>
      <c r="F285" s="311">
        <f t="shared" si="27"/>
        <v>34081.076549552672</v>
      </c>
      <c r="G285" s="312">
        <f>VLOOKUP(B285,'[1]Step 4 Final Title II FY20'!A285:Q682,15,FALSE)</f>
        <v>-305.27176250841148</v>
      </c>
      <c r="H285" s="313">
        <v>1049</v>
      </c>
      <c r="I285" s="310">
        <f t="shared" si="28"/>
        <v>9.140751894375083E-4</v>
      </c>
      <c r="J285" s="311">
        <f t="shared" si="29"/>
        <v>6340.5750579534133</v>
      </c>
      <c r="K285" s="312">
        <f>VLOOKUP(B285,'[1]Step 4 Final Title II FY20'!A285:Q682,16,FALSE)</f>
        <v>11.790386312571172</v>
      </c>
      <c r="L285" s="314">
        <f t="shared" si="30"/>
        <v>40128.170231310243</v>
      </c>
    </row>
    <row r="286" spans="1:12" ht="15.6" customHeight="1" x14ac:dyDescent="0.3">
      <c r="A286" s="286" t="str">
        <f t="shared" si="25"/>
        <v>8385 Richmond Community Schools</v>
      </c>
      <c r="B286" s="307" t="s">
        <v>2429</v>
      </c>
      <c r="C286" s="308" t="s">
        <v>393</v>
      </c>
      <c r="D286" s="309">
        <v>1277</v>
      </c>
      <c r="E286" s="310">
        <f t="shared" si="26"/>
        <v>7.8037154729894889E-3</v>
      </c>
      <c r="F286" s="311">
        <f t="shared" si="27"/>
        <v>216525.04852626252</v>
      </c>
      <c r="G286" s="312">
        <f>VLOOKUP(B286,'[1]Step 4 Final Title II FY20'!A286:Q683,15,FALSE)</f>
        <v>-15938.470628894924</v>
      </c>
      <c r="H286" s="313">
        <v>5764</v>
      </c>
      <c r="I286" s="310">
        <f t="shared" si="28"/>
        <v>5.0226209646499504E-3</v>
      </c>
      <c r="J286" s="311">
        <f t="shared" si="29"/>
        <v>34839.91862158577</v>
      </c>
      <c r="K286" s="312">
        <f>VLOOKUP(B286,'[1]Step 4 Final Title II FY20'!A286:Q683,16,FALSE)</f>
        <v>-7.8442998801256181</v>
      </c>
      <c r="L286" s="314">
        <f t="shared" si="30"/>
        <v>235418.65221907324</v>
      </c>
    </row>
    <row r="287" spans="1:12" ht="15.6" customHeight="1" x14ac:dyDescent="0.3">
      <c r="A287" s="286" t="str">
        <f t="shared" si="25"/>
        <v>8425 Southern Wells Com Schools</v>
      </c>
      <c r="B287" s="307" t="s">
        <v>2430</v>
      </c>
      <c r="C287" s="308" t="s">
        <v>394</v>
      </c>
      <c r="D287" s="309">
        <v>54</v>
      </c>
      <c r="E287" s="310">
        <f t="shared" si="26"/>
        <v>3.29992666829626E-4</v>
      </c>
      <c r="F287" s="311">
        <f t="shared" si="27"/>
        <v>9156.110117790271</v>
      </c>
      <c r="G287" s="312">
        <f>VLOOKUP(B287,'[1]Step 4 Final Title II FY20'!A287:Q684,15,FALSE)</f>
        <v>-816.12225236241284</v>
      </c>
      <c r="H287" s="313">
        <v>790</v>
      </c>
      <c r="I287" s="310">
        <f t="shared" si="28"/>
        <v>6.8838836954778979E-4</v>
      </c>
      <c r="J287" s="311">
        <f t="shared" si="29"/>
        <v>4775.0755917856968</v>
      </c>
      <c r="K287" s="312">
        <f>VLOOKUP(B287,'[1]Step 4 Final Title II FY20'!A287:Q684,16,FALSE)</f>
        <v>54.937970617967949</v>
      </c>
      <c r="L287" s="314">
        <f t="shared" si="30"/>
        <v>13170.001427831523</v>
      </c>
    </row>
    <row r="288" spans="1:12" ht="15.6" customHeight="1" x14ac:dyDescent="0.3">
      <c r="A288" s="286" t="str">
        <f t="shared" si="25"/>
        <v>8435 Northern Wells Community Schools</v>
      </c>
      <c r="B288" s="307" t="s">
        <v>2431</v>
      </c>
      <c r="C288" s="308" t="s">
        <v>2432</v>
      </c>
      <c r="D288" s="309">
        <v>265</v>
      </c>
      <c r="E288" s="310">
        <f t="shared" si="26"/>
        <v>1.6194084575898314E-3</v>
      </c>
      <c r="F288" s="311">
        <f t="shared" si="27"/>
        <v>44932.762615081891</v>
      </c>
      <c r="G288" s="312">
        <f>VLOOKUP(B288,'[1]Step 4 Final Title II FY20'!A288:Q685,15,FALSE)</f>
        <v>6021.6938087275412</v>
      </c>
      <c r="H288" s="313">
        <v>2845</v>
      </c>
      <c r="I288" s="310">
        <f t="shared" si="28"/>
        <v>2.4790695080550151E-3</v>
      </c>
      <c r="J288" s="311">
        <f t="shared" si="29"/>
        <v>17196.316529911783</v>
      </c>
      <c r="K288" s="312">
        <f>VLOOKUP(B288,'[1]Step 4 Final Title II FY20'!A288:Q685,16,FALSE)</f>
        <v>117.20575993582679</v>
      </c>
      <c r="L288" s="314">
        <f t="shared" si="30"/>
        <v>68267.978713657038</v>
      </c>
    </row>
    <row r="289" spans="1:12" ht="15.6" customHeight="1" x14ac:dyDescent="0.3">
      <c r="A289" s="286" t="str">
        <f t="shared" si="25"/>
        <v>8445 MSD Bluffton-Harrison</v>
      </c>
      <c r="B289" s="307" t="s">
        <v>2433</v>
      </c>
      <c r="C289" s="308" t="s">
        <v>2434</v>
      </c>
      <c r="D289" s="309">
        <v>200</v>
      </c>
      <c r="E289" s="310">
        <f t="shared" si="26"/>
        <v>1.2221950623319481E-3</v>
      </c>
      <c r="F289" s="311">
        <f t="shared" si="27"/>
        <v>33911.518954778781</v>
      </c>
      <c r="G289" s="312">
        <f>VLOOKUP(B289,'[1]Step 4 Final Title II FY20'!A289:Q686,15,FALSE)</f>
        <v>-2380.8359448368938</v>
      </c>
      <c r="H289" s="313">
        <v>1551</v>
      </c>
      <c r="I289" s="310">
        <f t="shared" si="28"/>
        <v>1.3515067862893951E-3</v>
      </c>
      <c r="J289" s="311">
        <f t="shared" si="29"/>
        <v>9374.8635985564761</v>
      </c>
      <c r="K289" s="312">
        <f>VLOOKUP(B289,'[1]Step 4 Final Title II FY20'!A289:Q686,16,FALSE)</f>
        <v>69.923289854294126</v>
      </c>
      <c r="L289" s="314">
        <f t="shared" si="30"/>
        <v>40975.469898352661</v>
      </c>
    </row>
    <row r="290" spans="1:12" ht="15.6" customHeight="1" x14ac:dyDescent="0.3">
      <c r="A290" s="286" t="str">
        <f t="shared" si="25"/>
        <v>8515 North White School Corp</v>
      </c>
      <c r="B290" s="307" t="s">
        <v>2435</v>
      </c>
      <c r="C290" s="308" t="s">
        <v>395</v>
      </c>
      <c r="D290" s="309">
        <v>169</v>
      </c>
      <c r="E290" s="310">
        <f t="shared" si="26"/>
        <v>1.0327548276704963E-3</v>
      </c>
      <c r="F290" s="311">
        <f t="shared" si="27"/>
        <v>28655.233516788074</v>
      </c>
      <c r="G290" s="312">
        <f>VLOOKUP(B290,'[1]Step 4 Final Title II FY20'!A290:Q687,15,FALSE)</f>
        <v>-11394.295882809944</v>
      </c>
      <c r="H290" s="313">
        <v>941</v>
      </c>
      <c r="I290" s="310">
        <f t="shared" si="28"/>
        <v>8.1996639967654456E-4</v>
      </c>
      <c r="J290" s="311">
        <f t="shared" si="29"/>
        <v>5687.779913759925</v>
      </c>
      <c r="K290" s="312">
        <f>VLOOKUP(B290,'[1]Step 4 Final Title II FY20'!A290:Q687,16,FALSE)</f>
        <v>56.936341179420197</v>
      </c>
      <c r="L290" s="314">
        <f t="shared" si="30"/>
        <v>23005.653888917477</v>
      </c>
    </row>
    <row r="291" spans="1:12" ht="15.6" customHeight="1" x14ac:dyDescent="0.3">
      <c r="A291" s="286" t="str">
        <f t="shared" si="25"/>
        <v>8525 Frontier School Corporation</v>
      </c>
      <c r="B291" s="307" t="s">
        <v>2436</v>
      </c>
      <c r="C291" s="308" t="s">
        <v>396</v>
      </c>
      <c r="D291" s="309">
        <v>58</v>
      </c>
      <c r="E291" s="310">
        <f t="shared" si="26"/>
        <v>3.5443656807626498E-4</v>
      </c>
      <c r="F291" s="311">
        <f t="shared" si="27"/>
        <v>9834.3404968858467</v>
      </c>
      <c r="G291" s="312">
        <f>VLOOKUP(B291,'[1]Step 4 Final Title II FY20'!A291:Q688,15,FALSE)</f>
        <v>-1461.841037021215</v>
      </c>
      <c r="H291" s="313">
        <v>729</v>
      </c>
      <c r="I291" s="310">
        <f t="shared" si="28"/>
        <v>6.3523433088650476E-4</v>
      </c>
      <c r="J291" s="311">
        <f t="shared" si="29"/>
        <v>4406.3672233060415</v>
      </c>
      <c r="K291" s="312">
        <f>VLOOKUP(B291,'[1]Step 4 Final Title II FY20'!A291:Q688,16,FALSE)</f>
        <v>14.807686297530381</v>
      </c>
      <c r="L291" s="314">
        <f t="shared" si="30"/>
        <v>12793.674369468203</v>
      </c>
    </row>
    <row r="292" spans="1:12" ht="15.6" customHeight="1" x14ac:dyDescent="0.3">
      <c r="A292" s="286" t="str">
        <f t="shared" si="25"/>
        <v>8535 Tri-County School Corporation</v>
      </c>
      <c r="B292" s="307" t="s">
        <v>2437</v>
      </c>
      <c r="C292" s="308" t="s">
        <v>2438</v>
      </c>
      <c r="D292" s="309">
        <v>99</v>
      </c>
      <c r="E292" s="310">
        <f t="shared" si="26"/>
        <v>6.0498655585431436E-4</v>
      </c>
      <c r="F292" s="311">
        <f t="shared" si="27"/>
        <v>16786.201882615496</v>
      </c>
      <c r="G292" s="312">
        <f>VLOOKUP(B292,'[1]Step 4 Final Title II FY20'!A292:Q689,15,FALSE)</f>
        <v>190.31410725097885</v>
      </c>
      <c r="H292" s="313">
        <v>757</v>
      </c>
      <c r="I292" s="310">
        <f t="shared" si="28"/>
        <v>6.5963290600971761E-4</v>
      </c>
      <c r="J292" s="311">
        <f t="shared" si="29"/>
        <v>4575.6104088376869</v>
      </c>
      <c r="K292" s="312">
        <f>VLOOKUP(B292,'[1]Step 4 Final Title II FY20'!A292:Q689,16,FALSE)</f>
        <v>-57.750513597643476</v>
      </c>
      <c r="L292" s="314">
        <f t="shared" si="30"/>
        <v>21494.375885106518</v>
      </c>
    </row>
    <row r="293" spans="1:12" ht="15.6" customHeight="1" x14ac:dyDescent="0.3">
      <c r="A293" s="286" t="str">
        <f t="shared" si="25"/>
        <v>8565 Twin Lakes School Corp</v>
      </c>
      <c r="B293" s="307" t="s">
        <v>2439</v>
      </c>
      <c r="C293" s="308" t="s">
        <v>397</v>
      </c>
      <c r="D293" s="309">
        <v>276</v>
      </c>
      <c r="E293" s="310">
        <f t="shared" si="26"/>
        <v>1.6866291860180886E-3</v>
      </c>
      <c r="F293" s="311">
        <f t="shared" si="27"/>
        <v>46797.896157594725</v>
      </c>
      <c r="G293" s="312">
        <f>VLOOKUP(B293,'[1]Step 4 Final Title II FY20'!A293:Q690,15,FALSE)</f>
        <v>-5724.580853084226</v>
      </c>
      <c r="H293" s="313">
        <v>2304</v>
      </c>
      <c r="I293" s="310">
        <f t="shared" si="28"/>
        <v>2.007654181567225E-3</v>
      </c>
      <c r="J293" s="311">
        <f t="shared" si="29"/>
        <v>13926.296409461071</v>
      </c>
      <c r="K293" s="312">
        <f>VLOOKUP(B293,'[1]Step 4 Final Title II FY20'!A293:Q690,16,FALSE)</f>
        <v>52.780449100102487</v>
      </c>
      <c r="L293" s="314">
        <f t="shared" si="30"/>
        <v>55052.392163071672</v>
      </c>
    </row>
    <row r="294" spans="1:12" ht="15.6" customHeight="1" x14ac:dyDescent="0.3">
      <c r="A294" s="286" t="str">
        <f t="shared" si="25"/>
        <v>8625 Smith-Green Community Schools</v>
      </c>
      <c r="B294" s="307" t="s">
        <v>2440</v>
      </c>
      <c r="C294" s="308" t="s">
        <v>398</v>
      </c>
      <c r="D294" s="309">
        <v>126</v>
      </c>
      <c r="E294" s="310">
        <f t="shared" si="26"/>
        <v>7.699828892691273E-4</v>
      </c>
      <c r="F294" s="311">
        <f t="shared" si="27"/>
        <v>21364.256941510634</v>
      </c>
      <c r="G294" s="312">
        <f>VLOOKUP(B294,'[1]Step 4 Final Title II FY20'!A294:Q691,15,FALSE)</f>
        <v>365.55692410325173</v>
      </c>
      <c r="H294" s="313">
        <v>1298</v>
      </c>
      <c r="I294" s="310">
        <f t="shared" si="28"/>
        <v>1.131048232497508E-3</v>
      </c>
      <c r="J294" s="311">
        <f t="shared" si="29"/>
        <v>7845.630529288399</v>
      </c>
      <c r="K294" s="312">
        <f>VLOOKUP(B294,'[1]Step 4 Final Title II FY20'!A294:Q691,16,FALSE)</f>
        <v>-31.723565929092729</v>
      </c>
      <c r="L294" s="314">
        <f t="shared" si="30"/>
        <v>29543.72082897319</v>
      </c>
    </row>
    <row r="295" spans="1:12" s="324" customFormat="1" ht="15.6" customHeight="1" thickBot="1" x14ac:dyDescent="0.35">
      <c r="A295" s="286" t="str">
        <f t="shared" si="25"/>
        <v>8665 Whitley County Con Schools</v>
      </c>
      <c r="B295" s="316" t="s">
        <v>2441</v>
      </c>
      <c r="C295" s="317" t="s">
        <v>2442</v>
      </c>
      <c r="D295" s="318">
        <v>304</v>
      </c>
      <c r="E295" s="319">
        <f t="shared" si="26"/>
        <v>1.8577364947445613E-3</v>
      </c>
      <c r="F295" s="320">
        <f t="shared" si="27"/>
        <v>51545.508811263753</v>
      </c>
      <c r="G295" s="321">
        <f>VLOOKUP(B295,'[1]Step 4 Final Title II FY20'!A295:Q692,15,FALSE)</f>
        <v>-5582.080248232116</v>
      </c>
      <c r="H295" s="322">
        <v>3840</v>
      </c>
      <c r="I295" s="319">
        <f t="shared" si="28"/>
        <v>3.3460903026120417E-3</v>
      </c>
      <c r="J295" s="320">
        <f t="shared" si="29"/>
        <v>23210.49401576845</v>
      </c>
      <c r="K295" s="321">
        <f>VLOOKUP(B295,'[1]Step 4 Final Title II FY20'!A295:Q692,16,FALSE)</f>
        <v>254.89116033781465</v>
      </c>
      <c r="L295" s="323">
        <f t="shared" si="30"/>
        <v>69428.813739137899</v>
      </c>
    </row>
    <row r="296" spans="1:12" s="333" customFormat="1" ht="15.6" customHeight="1" x14ac:dyDescent="0.3">
      <c r="A296" s="286" t="str">
        <f t="shared" si="25"/>
        <v>8635 Purdue Polytechnic High Sch North</v>
      </c>
      <c r="B296" s="325">
        <v>8635</v>
      </c>
      <c r="C296" s="326" t="s">
        <v>2443</v>
      </c>
      <c r="D296" s="327">
        <v>18</v>
      </c>
      <c r="E296" s="328">
        <f t="shared" si="26"/>
        <v>1.0999755560987534E-4</v>
      </c>
      <c r="F296" s="329">
        <f t="shared" si="27"/>
        <v>3052.0367059300906</v>
      </c>
      <c r="G296" s="330">
        <f>VLOOKUP(B296,'[1]Step 4 Final Title II FY20'!A296:Q693,15,FALSE)</f>
        <v>1955.5738482264924</v>
      </c>
      <c r="H296" s="331">
        <v>133</v>
      </c>
      <c r="I296" s="328">
        <f t="shared" si="28"/>
        <v>1.1589323183526082E-4</v>
      </c>
      <c r="J296" s="329">
        <f t="shared" si="29"/>
        <v>803.90513127531358</v>
      </c>
      <c r="K296" s="330">
        <f>VLOOKUP(B296,'[1]Step 4 Final Title II FY20'!A296:Q693,16,FALSE)</f>
        <v>457.86789649838306</v>
      </c>
      <c r="L296" s="332">
        <f t="shared" si="30"/>
        <v>6269.3835819302794</v>
      </c>
    </row>
    <row r="297" spans="1:12" ht="15.6" customHeight="1" x14ac:dyDescent="0.3">
      <c r="A297" s="286" t="str">
        <f t="shared" si="25"/>
        <v>8675 Invent Learning Hub</v>
      </c>
      <c r="B297" s="325">
        <v>8675</v>
      </c>
      <c r="C297" s="326" t="s">
        <v>2444</v>
      </c>
      <c r="D297" s="327">
        <v>66</v>
      </c>
      <c r="E297" s="328">
        <f t="shared" si="26"/>
        <v>4.0332437056954292E-4</v>
      </c>
      <c r="F297" s="329">
        <f t="shared" si="27"/>
        <v>11190.801255077</v>
      </c>
      <c r="G297" s="330">
        <f>VLOOKUP(B297,'[1]Step 4 Final Title II FY20'!A297:Q694,15,FALSE)</f>
        <v>5094.873261168661</v>
      </c>
      <c r="H297" s="331">
        <v>155</v>
      </c>
      <c r="I297" s="328">
        <f t="shared" si="28"/>
        <v>1.3506354086064232E-4</v>
      </c>
      <c r="J297" s="329">
        <f t="shared" si="29"/>
        <v>936.88191990732037</v>
      </c>
      <c r="K297" s="330">
        <f>VLOOKUP(B297,'[1]Step 4 Final Title II FY20'!A297:Q694,16,FALSE)</f>
        <v>391.968471833482</v>
      </c>
      <c r="L297" s="332">
        <f t="shared" si="30"/>
        <v>17614.524907986462</v>
      </c>
    </row>
    <row r="298" spans="1:12" ht="15.6" customHeight="1" x14ac:dyDescent="0.3">
      <c r="A298" s="286" t="str">
        <f t="shared" si="25"/>
        <v>8685 PLA at George H Fisher School 93</v>
      </c>
      <c r="B298" s="334">
        <v>8685</v>
      </c>
      <c r="C298" s="335" t="s">
        <v>2445</v>
      </c>
      <c r="D298" s="336">
        <v>170</v>
      </c>
      <c r="E298" s="337">
        <f t="shared" si="26"/>
        <v>1.038865802982156E-3</v>
      </c>
      <c r="F298" s="338">
        <f t="shared" si="27"/>
        <v>28824.791111561964</v>
      </c>
      <c r="G298" s="339">
        <f>VLOOKUP(B298,'[1]Step 4 Final Title II FY20'!A298:Q695,15,FALSE)</f>
        <v>-531.67428561094857</v>
      </c>
      <c r="H298" s="340">
        <v>456</v>
      </c>
      <c r="I298" s="337">
        <f t="shared" si="28"/>
        <v>3.9734822343517998E-4</v>
      </c>
      <c r="J298" s="338">
        <f t="shared" si="29"/>
        <v>2756.2461643725037</v>
      </c>
      <c r="K298" s="339">
        <f>VLOOKUP(B298,'[1]Step 4 Final Title II FY20'!A298:Q695,16,FALSE)</f>
        <v>5.3178861051983404</v>
      </c>
      <c r="L298" s="341">
        <f t="shared" si="30"/>
        <v>31054.68087642872</v>
      </c>
    </row>
    <row r="299" spans="1:12" ht="15.6" customHeight="1" x14ac:dyDescent="0.3">
      <c r="A299" s="286" t="str">
        <f t="shared" si="25"/>
        <v>8690 Dynamic Minds Academy</v>
      </c>
      <c r="B299" s="342">
        <v>8690</v>
      </c>
      <c r="C299" s="343" t="s">
        <v>2446</v>
      </c>
      <c r="D299" s="309">
        <v>1</v>
      </c>
      <c r="E299" s="310">
        <f t="shared" si="26"/>
        <v>6.1109753116597408E-6</v>
      </c>
      <c r="F299" s="311">
        <f t="shared" si="27"/>
        <v>169.55759477389392</v>
      </c>
      <c r="G299" s="312">
        <f>VLOOKUP(B299,'[1]Step 4 Final Title II FY20'!A299:Q696,15,FALSE)</f>
        <v>4.0927765000210456</v>
      </c>
      <c r="H299" s="313">
        <v>92</v>
      </c>
      <c r="I299" s="310">
        <f t="shared" si="28"/>
        <v>8.0166746833413503E-5</v>
      </c>
      <c r="J299" s="311">
        <f t="shared" si="29"/>
        <v>556.08475246111914</v>
      </c>
      <c r="K299" s="312">
        <f>VLOOKUP(B299,'[1]Step 4 Final Title II FY20'!A299:Q696,16,FALSE)</f>
        <v>1.176818219522147</v>
      </c>
      <c r="L299" s="314">
        <f t="shared" si="30"/>
        <v>730.91194195455626</v>
      </c>
    </row>
    <row r="300" spans="1:12" ht="15.6" customHeight="1" x14ac:dyDescent="0.3">
      <c r="A300" s="286" t="str">
        <f t="shared" si="25"/>
        <v>8940 James and Rosemary Phalen Leadersh</v>
      </c>
      <c r="B300" s="344">
        <v>8940</v>
      </c>
      <c r="C300" s="345" t="s">
        <v>2447</v>
      </c>
      <c r="D300" s="346">
        <v>115</v>
      </c>
      <c r="E300" s="347">
        <f t="shared" si="26"/>
        <v>7.0276216084087025E-4</v>
      </c>
      <c r="F300" s="348">
        <f t="shared" si="27"/>
        <v>19499.123398997803</v>
      </c>
      <c r="G300" s="349"/>
      <c r="H300" s="350">
        <v>324</v>
      </c>
      <c r="I300" s="347">
        <f t="shared" si="28"/>
        <v>2.82326369282891E-4</v>
      </c>
      <c r="J300" s="348">
        <f t="shared" si="29"/>
        <v>1958.385432580463</v>
      </c>
      <c r="K300" s="349"/>
      <c r="L300" s="351">
        <f t="shared" si="30"/>
        <v>21457.508831578267</v>
      </c>
    </row>
    <row r="301" spans="1:12" ht="15.6" customHeight="1" x14ac:dyDescent="0.3">
      <c r="A301" s="286" t="str">
        <f t="shared" si="25"/>
        <v>8950 Phalen Leadership Academy at Franc</v>
      </c>
      <c r="B301" s="344">
        <v>8950</v>
      </c>
      <c r="C301" s="345" t="s">
        <v>2448</v>
      </c>
      <c r="D301" s="346">
        <v>181</v>
      </c>
      <c r="E301" s="347">
        <f t="shared" si="26"/>
        <v>1.1060865314104131E-3</v>
      </c>
      <c r="F301" s="348">
        <f t="shared" si="27"/>
        <v>30689.924654074799</v>
      </c>
      <c r="G301" s="349"/>
      <c r="H301" s="350">
        <v>451</v>
      </c>
      <c r="I301" s="347">
        <f t="shared" si="28"/>
        <v>3.9299133502032055E-4</v>
      </c>
      <c r="J301" s="348">
        <f t="shared" si="29"/>
        <v>2726.0241669561387</v>
      </c>
      <c r="K301" s="349"/>
      <c r="L301" s="351">
        <f t="shared" si="30"/>
        <v>33415.948821030936</v>
      </c>
    </row>
    <row r="302" spans="1:12" ht="15.6" customHeight="1" x14ac:dyDescent="0.3">
      <c r="A302" s="286" t="str">
        <f t="shared" si="25"/>
        <v>8960 Purdue Polytechnic High School Sou</v>
      </c>
      <c r="B302" s="344">
        <v>8960</v>
      </c>
      <c r="C302" s="345" t="s">
        <v>2449</v>
      </c>
      <c r="D302" s="346">
        <v>6</v>
      </c>
      <c r="E302" s="347">
        <f t="shared" si="26"/>
        <v>3.6665851869958446E-5</v>
      </c>
      <c r="F302" s="348">
        <f t="shared" si="27"/>
        <v>1017.3455686433635</v>
      </c>
      <c r="G302" s="349"/>
      <c r="H302" s="350">
        <v>27</v>
      </c>
      <c r="I302" s="347">
        <f t="shared" si="28"/>
        <v>2.3527197440240918E-5</v>
      </c>
      <c r="J302" s="348">
        <f t="shared" si="29"/>
        <v>163.19878604837191</v>
      </c>
      <c r="K302" s="349"/>
      <c r="L302" s="351">
        <f t="shared" si="30"/>
        <v>1180.5443546917354</v>
      </c>
    </row>
    <row r="303" spans="1:12" ht="15.6" customHeight="1" x14ac:dyDescent="0.3">
      <c r="A303" s="286" t="str">
        <f t="shared" si="25"/>
        <v>8970 GEO Next Generation Academy</v>
      </c>
      <c r="B303" s="344">
        <v>8970</v>
      </c>
      <c r="C303" s="345" t="s">
        <v>2450</v>
      </c>
      <c r="D303" s="346">
        <v>28</v>
      </c>
      <c r="E303" s="347">
        <f t="shared" si="26"/>
        <v>1.7110730872647276E-4</v>
      </c>
      <c r="F303" s="348">
        <f t="shared" si="27"/>
        <v>4747.6126536690299</v>
      </c>
      <c r="G303" s="349"/>
      <c r="H303" s="350">
        <v>91</v>
      </c>
      <c r="I303" s="347">
        <f t="shared" si="28"/>
        <v>7.9295369150441612E-5</v>
      </c>
      <c r="J303" s="348">
        <f t="shared" si="29"/>
        <v>550.04035297784606</v>
      </c>
      <c r="K303" s="349"/>
      <c r="L303" s="351">
        <f t="shared" si="30"/>
        <v>5297.6530066468758</v>
      </c>
    </row>
    <row r="304" spans="1:12" ht="15.6" customHeight="1" x14ac:dyDescent="0.3">
      <c r="A304" s="286" t="str">
        <f t="shared" si="25"/>
        <v>8980 The PATH School</v>
      </c>
      <c r="B304" s="344">
        <v>8980</v>
      </c>
      <c r="C304" s="345" t="s">
        <v>2451</v>
      </c>
      <c r="D304" s="346">
        <v>196</v>
      </c>
      <c r="E304" s="347">
        <f t="shared" si="26"/>
        <v>1.1977511610853093E-3</v>
      </c>
      <c r="F304" s="348">
        <f t="shared" si="27"/>
        <v>33233.288575683211</v>
      </c>
      <c r="G304" s="349"/>
      <c r="H304" s="350">
        <v>512</v>
      </c>
      <c r="I304" s="347">
        <f t="shared" si="28"/>
        <v>4.4614537368160557E-4</v>
      </c>
      <c r="J304" s="348">
        <f t="shared" si="29"/>
        <v>3094.7325354357936</v>
      </c>
      <c r="K304" s="349"/>
      <c r="L304" s="351">
        <f t="shared" si="30"/>
        <v>36328.021111119007</v>
      </c>
    </row>
    <row r="305" spans="1:12" ht="15.6" customHeight="1" x14ac:dyDescent="0.3">
      <c r="A305" s="286" t="str">
        <f t="shared" si="25"/>
        <v>8990 HIM By HER Collegiate School for t</v>
      </c>
      <c r="B305" s="344">
        <v>8990</v>
      </c>
      <c r="C305" s="345" t="s">
        <v>2452</v>
      </c>
      <c r="D305" s="346">
        <v>22</v>
      </c>
      <c r="E305" s="347">
        <f t="shared" si="26"/>
        <v>1.344414568565143E-4</v>
      </c>
      <c r="F305" s="348">
        <f t="shared" si="27"/>
        <v>3730.2670850256663</v>
      </c>
      <c r="G305" s="349"/>
      <c r="H305" s="350">
        <v>63</v>
      </c>
      <c r="I305" s="347">
        <f t="shared" si="28"/>
        <v>5.4896794027228812E-5</v>
      </c>
      <c r="J305" s="348">
        <f t="shared" si="29"/>
        <v>380.79716744620117</v>
      </c>
      <c r="K305" s="349"/>
      <c r="L305" s="351">
        <f t="shared" si="30"/>
        <v>4111.0642524718678</v>
      </c>
    </row>
    <row r="306" spans="1:12" ht="15.6" customHeight="1" x14ac:dyDescent="0.3">
      <c r="A306" s="286" t="str">
        <f t="shared" si="25"/>
        <v>9000 Phalen Virtual Leadership Academy</v>
      </c>
      <c r="B306" s="344">
        <v>9000</v>
      </c>
      <c r="C306" s="345" t="s">
        <v>2453</v>
      </c>
      <c r="D306" s="346">
        <v>4</v>
      </c>
      <c r="E306" s="347">
        <f t="shared" si="26"/>
        <v>2.4443901246638963E-5</v>
      </c>
      <c r="F306" s="348">
        <f t="shared" si="27"/>
        <v>678.2303790955757</v>
      </c>
      <c r="G306" s="349"/>
      <c r="H306" s="350">
        <v>33</v>
      </c>
      <c r="I306" s="347">
        <f t="shared" si="28"/>
        <v>2.8755463538072233E-5</v>
      </c>
      <c r="J306" s="348">
        <f t="shared" si="29"/>
        <v>199.46518294801012</v>
      </c>
      <c r="K306" s="349"/>
      <c r="L306" s="351">
        <f t="shared" si="30"/>
        <v>877.69556204358582</v>
      </c>
    </row>
    <row r="307" spans="1:12" ht="15.6" customHeight="1" x14ac:dyDescent="0.3">
      <c r="A307" s="286" t="str">
        <f t="shared" si="25"/>
        <v xml:space="preserve">9010 Ignite Achievement Academy </v>
      </c>
      <c r="B307" s="342">
        <v>9010</v>
      </c>
      <c r="C307" s="343" t="s">
        <v>2454</v>
      </c>
      <c r="D307" s="309">
        <v>178</v>
      </c>
      <c r="E307" s="310">
        <f t="shared" si="26"/>
        <v>1.0877536054754338E-3</v>
      </c>
      <c r="F307" s="311">
        <f t="shared" si="27"/>
        <v>30181.251869753116</v>
      </c>
      <c r="G307" s="312">
        <f>VLOOKUP(B307,'[1]Step 4 Final Title II FY20'!A307:Q704,15,FALSE)</f>
        <v>-6226.4992172895436</v>
      </c>
      <c r="H307" s="313">
        <v>397</v>
      </c>
      <c r="I307" s="310">
        <f t="shared" si="28"/>
        <v>3.4593694013983868E-4</v>
      </c>
      <c r="J307" s="311">
        <f t="shared" si="29"/>
        <v>2399.6265948593946</v>
      </c>
      <c r="K307" s="312">
        <f>VLOOKUP(B307,'[1]Step 4 Final Title II FY20'!A307:Q704,16,FALSE)</f>
        <v>-769.25138001485539</v>
      </c>
      <c r="L307" s="314">
        <f t="shared" si="30"/>
        <v>25585.127867308111</v>
      </c>
    </row>
    <row r="308" spans="1:12" ht="15.6" customHeight="1" x14ac:dyDescent="0.3">
      <c r="A308" s="286" t="str">
        <f t="shared" si="25"/>
        <v>9015 Purdue Polytechnic High School Ind</v>
      </c>
      <c r="B308" s="334">
        <v>9015</v>
      </c>
      <c r="C308" s="335" t="s">
        <v>2455</v>
      </c>
      <c r="D308" s="336">
        <v>137</v>
      </c>
      <c r="E308" s="337">
        <f t="shared" si="26"/>
        <v>8.3720361769738447E-4</v>
      </c>
      <c r="F308" s="338">
        <f t="shared" si="27"/>
        <v>23229.390484023465</v>
      </c>
      <c r="G308" s="339"/>
      <c r="H308" s="340">
        <v>499</v>
      </c>
      <c r="I308" s="337">
        <f t="shared" si="28"/>
        <v>4.3481746380297107E-4</v>
      </c>
      <c r="J308" s="338">
        <f t="shared" si="29"/>
        <v>3016.155342153244</v>
      </c>
      <c r="K308" s="339"/>
      <c r="L308" s="341">
        <f t="shared" si="30"/>
        <v>26245.545826176709</v>
      </c>
    </row>
    <row r="309" spans="1:12" ht="15.6" customHeight="1" x14ac:dyDescent="0.3">
      <c r="A309" s="286" t="str">
        <f t="shared" si="25"/>
        <v>9030 Otwell Miller Academy</v>
      </c>
      <c r="B309" s="342">
        <v>9030</v>
      </c>
      <c r="C309" s="343" t="s">
        <v>2456</v>
      </c>
      <c r="D309" s="309">
        <v>19</v>
      </c>
      <c r="E309" s="310">
        <f t="shared" si="26"/>
        <v>1.1610853092153508E-4</v>
      </c>
      <c r="F309" s="311">
        <f t="shared" si="27"/>
        <v>3221.5943007039846</v>
      </c>
      <c r="G309" s="312">
        <f>VLOOKUP(B309,'[1]Step 4 Final Title II FY20'!A309:Q706,15,FALSE)</f>
        <v>-610.93018440861988</v>
      </c>
      <c r="H309" s="313">
        <v>109</v>
      </c>
      <c r="I309" s="310">
        <f t="shared" si="28"/>
        <v>9.4980167443935564E-5</v>
      </c>
      <c r="J309" s="311">
        <f t="shared" si="29"/>
        <v>658.83954367676074</v>
      </c>
      <c r="K309" s="312">
        <f>VLOOKUP(B309,'[1]Step 4 Final Title II FY20'!A309:Q706,16,FALSE)</f>
        <v>20.853388326124787</v>
      </c>
      <c r="L309" s="314">
        <f t="shared" si="30"/>
        <v>3290.35704829825</v>
      </c>
    </row>
    <row r="310" spans="1:12" ht="15.6" customHeight="1" x14ac:dyDescent="0.3">
      <c r="A310" s="286" t="str">
        <f t="shared" si="25"/>
        <v>9035 Indiana Connections Career Academy</v>
      </c>
      <c r="B310" s="342">
        <v>9035</v>
      </c>
      <c r="C310" s="343" t="s">
        <v>2457</v>
      </c>
      <c r="D310" s="309">
        <v>26</v>
      </c>
      <c r="E310" s="310">
        <f t="shared" si="26"/>
        <v>1.5888535810315327E-4</v>
      </c>
      <c r="F310" s="311">
        <f t="shared" si="27"/>
        <v>4408.497464121242</v>
      </c>
      <c r="G310" s="312">
        <f>VLOOKUP(B310,'[1]Step 4 Final Title II FY20'!A310:Q707,15,FALSE)</f>
        <v>5793.2956718595569</v>
      </c>
      <c r="H310" s="313">
        <v>544</v>
      </c>
      <c r="I310" s="310">
        <f t="shared" si="28"/>
        <v>4.7402945953670594E-4</v>
      </c>
      <c r="J310" s="311">
        <f t="shared" si="29"/>
        <v>3288.1533189005308</v>
      </c>
      <c r="K310" s="312">
        <f>VLOOKUP(B310,'[1]Step 4 Final Title II FY20'!A310:Q707,16,FALSE)</f>
        <v>2965.1978740442601</v>
      </c>
      <c r="L310" s="314">
        <f t="shared" si="30"/>
        <v>16455.144328925591</v>
      </c>
    </row>
    <row r="311" spans="1:12" ht="15.6" customHeight="1" x14ac:dyDescent="0.3">
      <c r="A311" s="286" t="str">
        <f t="shared" si="25"/>
        <v>9040 Avondale Meadows Middle School</v>
      </c>
      <c r="B311" s="342">
        <v>9040</v>
      </c>
      <c r="C311" s="343" t="s">
        <v>2458</v>
      </c>
      <c r="D311" s="309">
        <v>55</v>
      </c>
      <c r="E311" s="310">
        <f t="shared" si="26"/>
        <v>3.3610364214128576E-4</v>
      </c>
      <c r="F311" s="311">
        <f t="shared" si="27"/>
        <v>9325.6677125641654</v>
      </c>
      <c r="G311" s="312">
        <f>VLOOKUP(B311,'[1]Step 4 Final Title II FY20'!A311:Q708,15,FALSE)</f>
        <v>5285.8140721227555</v>
      </c>
      <c r="H311" s="313">
        <v>166</v>
      </c>
      <c r="I311" s="310">
        <f t="shared" si="28"/>
        <v>1.4464869537333307E-4</v>
      </c>
      <c r="J311" s="311">
        <f t="shared" si="29"/>
        <v>1003.3703142233237</v>
      </c>
      <c r="K311" s="312">
        <f>VLOOKUP(B311,'[1]Step 4 Final Title II FY20'!A311:Q708,16,FALSE)</f>
        <v>448.93521612624477</v>
      </c>
      <c r="L311" s="314">
        <f t="shared" si="30"/>
        <v>16063.78731503649</v>
      </c>
    </row>
    <row r="312" spans="1:12" ht="15.6" customHeight="1" x14ac:dyDescent="0.3">
      <c r="A312" s="286" t="str">
        <f t="shared" si="25"/>
        <v>9045 James &amp; Rosemary Phalen Leadership</v>
      </c>
      <c r="B312" s="352">
        <v>9045</v>
      </c>
      <c r="C312" s="353" t="s">
        <v>2459</v>
      </c>
      <c r="D312" s="354">
        <v>112</v>
      </c>
      <c r="E312" s="355">
        <f t="shared" si="26"/>
        <v>6.8442923490589103E-4</v>
      </c>
      <c r="F312" s="356">
        <f t="shared" si="27"/>
        <v>18990.45061467612</v>
      </c>
      <c r="G312" s="357"/>
      <c r="H312" s="358">
        <v>278</v>
      </c>
      <c r="I312" s="355">
        <f t="shared" si="28"/>
        <v>2.4224299586618426E-4</v>
      </c>
      <c r="J312" s="356">
        <f t="shared" si="29"/>
        <v>1680.3430563499035</v>
      </c>
      <c r="K312" s="357"/>
      <c r="L312" s="359">
        <f t="shared" si="30"/>
        <v>20670.793671026022</v>
      </c>
    </row>
    <row r="313" spans="1:12" ht="15.6" customHeight="1" x14ac:dyDescent="0.3">
      <c r="A313" s="286" t="str">
        <f t="shared" si="25"/>
        <v>9050 Excel Center - Clarksville</v>
      </c>
      <c r="B313" s="342">
        <v>9050</v>
      </c>
      <c r="C313" s="343" t="s">
        <v>2460</v>
      </c>
      <c r="D313" s="309">
        <v>10</v>
      </c>
      <c r="E313" s="310">
        <f t="shared" si="26"/>
        <v>6.1109753116597406E-5</v>
      </c>
      <c r="F313" s="311">
        <f t="shared" si="27"/>
        <v>1695.575947738939</v>
      </c>
      <c r="G313" s="312">
        <f>VLOOKUP(B313,'[1]Step 4 Final Title II FY20'!A313:Q710,15,FALSE)</f>
        <v>2081.5913194683712</v>
      </c>
      <c r="H313" s="313">
        <v>51</v>
      </c>
      <c r="I313" s="310">
        <f t="shared" si="28"/>
        <v>4.4440261831566182E-5</v>
      </c>
      <c r="J313" s="311">
        <f t="shared" si="29"/>
        <v>308.26437364692475</v>
      </c>
      <c r="K313" s="312">
        <f>VLOOKUP(B313,'[1]Step 4 Final Title II FY20'!A313:Q710,16,FALSE)</f>
        <v>383.02077176104757</v>
      </c>
      <c r="L313" s="314">
        <f t="shared" si="30"/>
        <v>4468.4524126152828</v>
      </c>
    </row>
    <row r="314" spans="1:12" ht="15.6" customHeight="1" x14ac:dyDescent="0.3">
      <c r="A314" s="286" t="str">
        <f t="shared" si="25"/>
        <v>9060 Paramount Cottage Home</v>
      </c>
      <c r="B314" s="352">
        <v>9060</v>
      </c>
      <c r="C314" s="353" t="s">
        <v>2461</v>
      </c>
      <c r="D314" s="354">
        <v>75</v>
      </c>
      <c r="E314" s="355">
        <f t="shared" si="26"/>
        <v>4.5832314837448057E-4</v>
      </c>
      <c r="F314" s="356">
        <f t="shared" si="27"/>
        <v>12716.819608042044</v>
      </c>
      <c r="G314" s="357"/>
      <c r="H314" s="358">
        <v>230</v>
      </c>
      <c r="I314" s="355">
        <f t="shared" si="28"/>
        <v>2.0041686708353374E-4</v>
      </c>
      <c r="J314" s="356">
        <f t="shared" si="29"/>
        <v>1390.2118811527978</v>
      </c>
      <c r="K314" s="357"/>
      <c r="L314" s="359">
        <f t="shared" si="30"/>
        <v>14107.031489194842</v>
      </c>
    </row>
    <row r="315" spans="1:12" ht="15.6" customHeight="1" x14ac:dyDescent="0.3">
      <c r="A315" s="286" t="str">
        <f t="shared" si="25"/>
        <v>9065 Allegiant Preparatory Academy</v>
      </c>
      <c r="B315" s="334">
        <v>9065</v>
      </c>
      <c r="C315" s="335" t="s">
        <v>2462</v>
      </c>
      <c r="D315" s="336">
        <v>23</v>
      </c>
      <c r="E315" s="337">
        <f t="shared" si="26"/>
        <v>1.4055243216817403E-4</v>
      </c>
      <c r="F315" s="338">
        <f t="shared" si="27"/>
        <v>3899.8246797995598</v>
      </c>
      <c r="G315" s="339"/>
      <c r="H315" s="340">
        <v>107</v>
      </c>
      <c r="I315" s="337">
        <f t="shared" si="28"/>
        <v>9.3237412077991794E-5</v>
      </c>
      <c r="J315" s="338">
        <f t="shared" si="29"/>
        <v>646.75074471021469</v>
      </c>
      <c r="K315" s="339"/>
      <c r="L315" s="341">
        <f t="shared" si="30"/>
        <v>4546.5754245097742</v>
      </c>
    </row>
    <row r="316" spans="1:12" ht="15.6" customHeight="1" x14ac:dyDescent="0.3">
      <c r="A316" s="286" t="str">
        <f t="shared" si="25"/>
        <v>9080 Vanguard Collegiate of Indy</v>
      </c>
      <c r="B316" s="342">
        <v>9080</v>
      </c>
      <c r="C316" s="343" t="s">
        <v>2463</v>
      </c>
      <c r="D316" s="309">
        <v>38</v>
      </c>
      <c r="E316" s="310">
        <f t="shared" si="26"/>
        <v>2.3221706184307016E-4</v>
      </c>
      <c r="F316" s="311">
        <f t="shared" si="27"/>
        <v>6443.1886014079691</v>
      </c>
      <c r="G316" s="312"/>
      <c r="H316" s="313">
        <v>87</v>
      </c>
      <c r="I316" s="310">
        <f t="shared" si="28"/>
        <v>7.5809858418554073E-5</v>
      </c>
      <c r="J316" s="311">
        <f t="shared" si="29"/>
        <v>525.86275504475395</v>
      </c>
      <c r="K316" s="312"/>
      <c r="L316" s="314">
        <f t="shared" si="30"/>
        <v>6969.0513564527228</v>
      </c>
    </row>
    <row r="317" spans="1:12" ht="15.6" customHeight="1" x14ac:dyDescent="0.3">
      <c r="A317" s="286" t="str">
        <f t="shared" si="25"/>
        <v>9085 pilotED Schools</v>
      </c>
      <c r="B317" s="334">
        <v>9085</v>
      </c>
      <c r="C317" s="335" t="s">
        <v>2464</v>
      </c>
      <c r="D317" s="336">
        <v>58</v>
      </c>
      <c r="E317" s="337">
        <f t="shared" si="26"/>
        <v>3.5443656807626498E-4</v>
      </c>
      <c r="F317" s="338">
        <f t="shared" si="27"/>
        <v>9834.3404968858467</v>
      </c>
      <c r="G317" s="339"/>
      <c r="H317" s="340">
        <v>185</v>
      </c>
      <c r="I317" s="337">
        <f t="shared" si="28"/>
        <v>1.612048713497989E-4</v>
      </c>
      <c r="J317" s="338">
        <f t="shared" si="29"/>
        <v>1118.2139044055114</v>
      </c>
      <c r="K317" s="339"/>
      <c r="L317" s="341">
        <f t="shared" si="30"/>
        <v>10952.554401291358</v>
      </c>
    </row>
    <row r="318" spans="1:12" ht="15.6" customHeight="1" x14ac:dyDescent="0.3">
      <c r="A318" s="286" t="str">
        <f t="shared" si="25"/>
        <v xml:space="preserve">9090 Matchbook Learning  </v>
      </c>
      <c r="B318" s="342">
        <v>9090</v>
      </c>
      <c r="C318" s="343" t="s">
        <v>2465</v>
      </c>
      <c r="D318" s="309">
        <v>297</v>
      </c>
      <c r="E318" s="310">
        <f t="shared" si="26"/>
        <v>1.814959667562943E-3</v>
      </c>
      <c r="F318" s="311">
        <f t="shared" si="27"/>
        <v>50358.605647846489</v>
      </c>
      <c r="G318" s="312">
        <f>VLOOKUP(B318,'[1]Step 4 Final Title II FY20'!A318:Q715,15,FALSE)</f>
        <v>54558.337086917803</v>
      </c>
      <c r="H318" s="313">
        <v>644</v>
      </c>
      <c r="I318" s="310">
        <f t="shared" si="28"/>
        <v>5.6116722783389455E-4</v>
      </c>
      <c r="J318" s="311">
        <f t="shared" si="29"/>
        <v>3892.5932672278345</v>
      </c>
      <c r="K318" s="312">
        <f>VLOOKUP(B318,'[1]Step 4 Final Title II FY20'!A318:Q715,16,FALSE)</f>
        <v>3679.5777433063295</v>
      </c>
      <c r="L318" s="314">
        <f t="shared" si="30"/>
        <v>112489.11374529845</v>
      </c>
    </row>
    <row r="319" spans="1:12" ht="15.6" customHeight="1" x14ac:dyDescent="0.3">
      <c r="A319" s="286" t="str">
        <f t="shared" si="25"/>
        <v>9095 Urban ACT Academy</v>
      </c>
      <c r="B319" s="342">
        <v>9095</v>
      </c>
      <c r="C319" s="343" t="s">
        <v>2466</v>
      </c>
      <c r="D319" s="309">
        <v>134</v>
      </c>
      <c r="E319" s="310">
        <f t="shared" si="26"/>
        <v>8.1887069176240525E-4</v>
      </c>
      <c r="F319" s="311">
        <f t="shared" si="27"/>
        <v>22720.717699701785</v>
      </c>
      <c r="G319" s="312">
        <f>VLOOKUP(B319,'[1]Step 4 Final Title II FY20'!A319:Q716,15,FALSE)</f>
        <v>24567.9642391255</v>
      </c>
      <c r="H319" s="313">
        <v>321</v>
      </c>
      <c r="I319" s="310">
        <f t="shared" si="28"/>
        <v>2.7971223623397536E-4</v>
      </c>
      <c r="J319" s="311">
        <f t="shared" si="29"/>
        <v>1940.252234130644</v>
      </c>
      <c r="K319" s="312">
        <f>VLOOKUP(B319,'[1]Step 4 Final Title II FY20'!A319:Q716,16,FALSE)</f>
        <v>1931.6009457707869</v>
      </c>
      <c r="L319" s="314">
        <f t="shared" si="30"/>
        <v>51160.535118728716</v>
      </c>
    </row>
    <row r="320" spans="1:12" ht="15.6" customHeight="1" x14ac:dyDescent="0.3">
      <c r="A320" s="286" t="str">
        <f t="shared" si="25"/>
        <v>9115 Kindezi Academy</v>
      </c>
      <c r="B320" s="334">
        <v>9115</v>
      </c>
      <c r="C320" s="335" t="s">
        <v>2467</v>
      </c>
      <c r="D320" s="336">
        <v>159</v>
      </c>
      <c r="E320" s="337">
        <f t="shared" si="26"/>
        <v>9.7164507455389879E-4</v>
      </c>
      <c r="F320" s="338">
        <f t="shared" si="27"/>
        <v>26959.657569049134</v>
      </c>
      <c r="G320" s="339"/>
      <c r="H320" s="340">
        <v>429</v>
      </c>
      <c r="I320" s="337">
        <f t="shared" si="28"/>
        <v>3.7382102599493904E-4</v>
      </c>
      <c r="J320" s="338">
        <f t="shared" si="29"/>
        <v>2593.0473783241318</v>
      </c>
      <c r="K320" s="339"/>
      <c r="L320" s="341">
        <f t="shared" si="30"/>
        <v>29552.704947373266</v>
      </c>
    </row>
    <row r="321" spans="1:12" ht="15.6" customHeight="1" x14ac:dyDescent="0.3">
      <c r="A321" s="286" t="str">
        <f t="shared" si="25"/>
        <v>9120 Insight School of Indiana</v>
      </c>
      <c r="B321" s="342">
        <v>9120</v>
      </c>
      <c r="C321" s="343" t="s">
        <v>2468</v>
      </c>
      <c r="D321" s="309">
        <v>62</v>
      </c>
      <c r="E321" s="310">
        <f t="shared" si="26"/>
        <v>3.7888046932290395E-4</v>
      </c>
      <c r="F321" s="311">
        <f t="shared" si="27"/>
        <v>10512.570875981422</v>
      </c>
      <c r="G321" s="312">
        <f>VLOOKUP(B321,'[1]Step 4 Final Title II FY20'!A321:Q718,15,FALSE)</f>
        <v>2449.3066594317697</v>
      </c>
      <c r="H321" s="313">
        <v>569</v>
      </c>
      <c r="I321" s="310">
        <f t="shared" si="28"/>
        <v>4.9581390161100309E-4</v>
      </c>
      <c r="J321" s="311">
        <f t="shared" si="29"/>
        <v>3439.2633059823565</v>
      </c>
      <c r="K321" s="312">
        <f>VLOOKUP(B321,'[1]Step 4 Final Title II FY20'!A321:Q718,16,FALSE)</f>
        <v>1213.2848492441162</v>
      </c>
      <c r="L321" s="314">
        <f t="shared" si="30"/>
        <v>17614.425690639666</v>
      </c>
    </row>
    <row r="322" spans="1:12" ht="15.6" customHeight="1" x14ac:dyDescent="0.3">
      <c r="A322" s="286" t="str">
        <f t="shared" si="25"/>
        <v>9130 Adelante Schools</v>
      </c>
      <c r="B322" s="344">
        <v>9130</v>
      </c>
      <c r="C322" s="345" t="s">
        <v>2469</v>
      </c>
      <c r="D322" s="346">
        <v>142</v>
      </c>
      <c r="E322" s="347">
        <f t="shared" si="26"/>
        <v>8.677584942556832E-4</v>
      </c>
      <c r="F322" s="348">
        <f t="shared" si="27"/>
        <v>24077.178457892936</v>
      </c>
      <c r="G322" s="349"/>
      <c r="H322" s="350">
        <v>347</v>
      </c>
      <c r="I322" s="347">
        <f t="shared" si="28"/>
        <v>3.0236805599124437E-4</v>
      </c>
      <c r="J322" s="348">
        <f t="shared" si="29"/>
        <v>2097.4066206957427</v>
      </c>
      <c r="K322" s="349"/>
      <c r="L322" s="351">
        <f t="shared" si="30"/>
        <v>26174.58507858868</v>
      </c>
    </row>
    <row r="323" spans="1:12" ht="15.6" customHeight="1" x14ac:dyDescent="0.3">
      <c r="A323" s="286" t="str">
        <f t="shared" si="25"/>
        <v>9135 KIPP Indy Legacy High</v>
      </c>
      <c r="B323" s="334">
        <v>9135</v>
      </c>
      <c r="C323" s="335" t="s">
        <v>2470</v>
      </c>
      <c r="D323" s="336">
        <v>115</v>
      </c>
      <c r="E323" s="337">
        <f t="shared" si="26"/>
        <v>7.0276216084087025E-4</v>
      </c>
      <c r="F323" s="338">
        <f t="shared" si="27"/>
        <v>19499.123398997803</v>
      </c>
      <c r="G323" s="339"/>
      <c r="H323" s="340">
        <v>260</v>
      </c>
      <c r="I323" s="337">
        <f t="shared" si="28"/>
        <v>2.2655819757269033E-4</v>
      </c>
      <c r="J323" s="338">
        <f t="shared" si="29"/>
        <v>1571.5438656509889</v>
      </c>
      <c r="K323" s="339"/>
      <c r="L323" s="341">
        <f t="shared" si="30"/>
        <v>21070.667264648793</v>
      </c>
    </row>
    <row r="324" spans="1:12" ht="15.6" customHeight="1" x14ac:dyDescent="0.3">
      <c r="A324" s="286" t="str">
        <f t="shared" si="25"/>
        <v>9140 BELIEVE Circle City High School</v>
      </c>
      <c r="B324" s="344">
        <v>9140</v>
      </c>
      <c r="C324" s="345" t="s">
        <v>2471</v>
      </c>
      <c r="D324" s="346">
        <v>22</v>
      </c>
      <c r="E324" s="347">
        <f t="shared" si="26"/>
        <v>1.344414568565143E-4</v>
      </c>
      <c r="F324" s="348">
        <f t="shared" si="27"/>
        <v>3730.2670850256663</v>
      </c>
      <c r="G324" s="349"/>
      <c r="H324" s="350">
        <v>54</v>
      </c>
      <c r="I324" s="347">
        <f t="shared" si="28"/>
        <v>4.7054394880481836E-5</v>
      </c>
      <c r="J324" s="348">
        <f t="shared" si="29"/>
        <v>326.39757209674383</v>
      </c>
      <c r="K324" s="349"/>
      <c r="L324" s="351">
        <f t="shared" si="30"/>
        <v>4056.6646571224101</v>
      </c>
    </row>
    <row r="325" spans="1:12" ht="15.6" customHeight="1" x14ac:dyDescent="0.3">
      <c r="A325" s="286" t="str">
        <f t="shared" si="25"/>
        <v>9145 Riverside High School</v>
      </c>
      <c r="B325" s="342">
        <v>9145</v>
      </c>
      <c r="C325" s="343" t="s">
        <v>2472</v>
      </c>
      <c r="D325" s="309">
        <v>112</v>
      </c>
      <c r="E325" s="310">
        <f t="shared" si="26"/>
        <v>6.8442923490589103E-4</v>
      </c>
      <c r="F325" s="311">
        <f t="shared" si="27"/>
        <v>18990.45061467612</v>
      </c>
      <c r="G325" s="312">
        <f>VLOOKUP(B325,'[1]Step 4 Final Title II FY20'!A325:Q722,15,FALSE)</f>
        <v>11533.655294737533</v>
      </c>
      <c r="H325" s="313">
        <v>401</v>
      </c>
      <c r="I325" s="310">
        <f t="shared" si="28"/>
        <v>3.4942245087172624E-4</v>
      </c>
      <c r="J325" s="311">
        <f t="shared" si="29"/>
        <v>2423.8041927924869</v>
      </c>
      <c r="K325" s="312">
        <f>VLOOKUP(B325,'[1]Step 4 Final Title II FY20'!A325:Q722,16,FALSE)</f>
        <v>1266.4199242696923</v>
      </c>
      <c r="L325" s="314">
        <f t="shared" si="30"/>
        <v>34214.330026475829</v>
      </c>
    </row>
    <row r="326" spans="1:12" ht="15.6" customHeight="1" x14ac:dyDescent="0.3">
      <c r="A326" s="286" t="str">
        <f t="shared" si="25"/>
        <v>9150 Circle City Prep Charter School</v>
      </c>
      <c r="B326" s="334">
        <v>9150</v>
      </c>
      <c r="C326" s="335" t="s">
        <v>2473</v>
      </c>
      <c r="D326" s="336">
        <v>83</v>
      </c>
      <c r="E326" s="337">
        <f t="shared" si="26"/>
        <v>5.0721095086775846E-4</v>
      </c>
      <c r="F326" s="338">
        <f t="shared" si="27"/>
        <v>14073.280366233193</v>
      </c>
      <c r="G326" s="339"/>
      <c r="H326" s="340">
        <v>225</v>
      </c>
      <c r="I326" s="337">
        <f t="shared" si="28"/>
        <v>1.9605997866867431E-4</v>
      </c>
      <c r="J326" s="338">
        <f t="shared" si="29"/>
        <v>1359.9898837364326</v>
      </c>
      <c r="K326" s="339"/>
      <c r="L326" s="341">
        <f t="shared" si="30"/>
        <v>15433.270249969626</v>
      </c>
    </row>
    <row r="327" spans="1:12" ht="15.6" customHeight="1" x14ac:dyDescent="0.3">
      <c r="A327" s="286" t="str">
        <f t="shared" ref="A327:A390" si="31">B327&amp;" "&amp;C327</f>
        <v>9160 Excel Center - Muncie</v>
      </c>
      <c r="B327" s="342">
        <v>9160</v>
      </c>
      <c r="C327" s="343" t="s">
        <v>2474</v>
      </c>
      <c r="D327" s="309">
        <v>13</v>
      </c>
      <c r="E327" s="310">
        <f t="shared" ref="E327:E390" si="32">D327/$D$5</f>
        <v>7.9442679051576636E-5</v>
      </c>
      <c r="F327" s="311">
        <f t="shared" ref="F327:F390" si="33">E327*$F$2</f>
        <v>2204.248732060621</v>
      </c>
      <c r="G327" s="312">
        <f>VLOOKUP(B327,'[1]Step 4 Final Title II FY20'!A327:Q724,15,FALSE)</f>
        <v>2372.1542183058159</v>
      </c>
      <c r="H327" s="313">
        <v>20</v>
      </c>
      <c r="I327" s="310">
        <f t="shared" ref="I327:I390" si="34">H327/$H$5</f>
        <v>1.7427553659437718E-5</v>
      </c>
      <c r="J327" s="311">
        <f t="shared" ref="J327:J390" si="35">I327*$J$2</f>
        <v>120.88798966546069</v>
      </c>
      <c r="K327" s="312">
        <f>VLOOKUP(B327,'[1]Step 4 Final Title II FY20'!A327:Q724,16,FALSE)</f>
        <v>145.11461589849267</v>
      </c>
      <c r="L327" s="314">
        <f t="shared" ref="L327:L390" si="36">F327+G327+J327+K327</f>
        <v>4842.4055559303906</v>
      </c>
    </row>
    <row r="328" spans="1:12" ht="15.6" customHeight="1" x14ac:dyDescent="0.3">
      <c r="A328" s="286" t="str">
        <f t="shared" si="31"/>
        <v>9165 Paramount Englewood</v>
      </c>
      <c r="B328" s="342">
        <v>9165</v>
      </c>
      <c r="C328" s="343" t="s">
        <v>2475</v>
      </c>
      <c r="D328" s="309">
        <v>63</v>
      </c>
      <c r="E328" s="310">
        <f t="shared" si="32"/>
        <v>3.8499144463456365E-4</v>
      </c>
      <c r="F328" s="311">
        <f t="shared" si="33"/>
        <v>10682.128470755317</v>
      </c>
      <c r="G328" s="312">
        <f>VLOOKUP(B328,'[1]Step 4 Final Title II FY20'!A328:Q725,15,FALSE)</f>
        <v>4766.8978982142326</v>
      </c>
      <c r="H328" s="313">
        <v>187</v>
      </c>
      <c r="I328" s="310">
        <f t="shared" si="34"/>
        <v>1.6294762671574265E-4</v>
      </c>
      <c r="J328" s="311">
        <f t="shared" si="35"/>
        <v>1130.3027033720573</v>
      </c>
      <c r="K328" s="312">
        <f>VLOOKUP(B328,'[1]Step 4 Final Title II FY20'!A328:Q725,16,FALSE)</f>
        <v>531.22544461813868</v>
      </c>
      <c r="L328" s="314">
        <f t="shared" si="36"/>
        <v>17110.554516959746</v>
      </c>
    </row>
    <row r="329" spans="1:12" ht="15.6" customHeight="1" x14ac:dyDescent="0.3">
      <c r="A329" s="286" t="str">
        <f t="shared" si="31"/>
        <v>9170 Rooted School Indianapolis</v>
      </c>
      <c r="B329" s="344">
        <v>9170</v>
      </c>
      <c r="C329" s="345" t="s">
        <v>2476</v>
      </c>
      <c r="D329" s="346">
        <v>20</v>
      </c>
      <c r="E329" s="347">
        <f t="shared" si="32"/>
        <v>1.2221950623319481E-4</v>
      </c>
      <c r="F329" s="348">
        <f t="shared" si="33"/>
        <v>3391.151895477878</v>
      </c>
      <c r="G329" s="349"/>
      <c r="H329" s="350">
        <v>58</v>
      </c>
      <c r="I329" s="347">
        <f t="shared" si="34"/>
        <v>5.0539905612369382E-5</v>
      </c>
      <c r="J329" s="348">
        <f t="shared" si="35"/>
        <v>350.57517002983599</v>
      </c>
      <c r="K329" s="349"/>
      <c r="L329" s="351">
        <f t="shared" si="36"/>
        <v>3741.7270655077141</v>
      </c>
    </row>
    <row r="330" spans="1:12" ht="15.6" customHeight="1" x14ac:dyDescent="0.3">
      <c r="A330" s="286" t="str">
        <f t="shared" si="31"/>
        <v xml:space="preserve">9195 Timothy L. Johnson Academy Middle </v>
      </c>
      <c r="B330" s="352">
        <v>9195</v>
      </c>
      <c r="C330" s="353" t="s">
        <v>2477</v>
      </c>
      <c r="D330" s="354">
        <v>32</v>
      </c>
      <c r="E330" s="355">
        <f t="shared" si="32"/>
        <v>1.955512099731117E-4</v>
      </c>
      <c r="F330" s="356">
        <f t="shared" si="33"/>
        <v>5425.8430327646056</v>
      </c>
      <c r="G330" s="357"/>
      <c r="H330" s="358">
        <v>119</v>
      </c>
      <c r="I330" s="355">
        <f t="shared" si="34"/>
        <v>1.0369394427365442E-4</v>
      </c>
      <c r="J330" s="356">
        <f t="shared" si="35"/>
        <v>719.28353850949111</v>
      </c>
      <c r="K330" s="357"/>
      <c r="L330" s="359">
        <f t="shared" si="36"/>
        <v>6145.1265712740969</v>
      </c>
    </row>
    <row r="331" spans="1:12" ht="15.6" customHeight="1" x14ac:dyDescent="0.3">
      <c r="A331" s="286" t="str">
        <f t="shared" si="31"/>
        <v>9305 Excel Center - Richmond</v>
      </c>
      <c r="B331" s="342">
        <v>9305</v>
      </c>
      <c r="C331" s="343" t="s">
        <v>2478</v>
      </c>
      <c r="D331" s="309">
        <v>12</v>
      </c>
      <c r="E331" s="310">
        <f t="shared" si="32"/>
        <v>7.3331703739916893E-5</v>
      </c>
      <c r="F331" s="311">
        <f t="shared" si="33"/>
        <v>2034.6911372867271</v>
      </c>
      <c r="G331" s="312">
        <f>VLOOKUP(B331,'[1]Step 4 Final Title II FY20'!A331:Q728,15,FALSE)</f>
        <v>-450.0120853064227</v>
      </c>
      <c r="H331" s="313">
        <v>58</v>
      </c>
      <c r="I331" s="310">
        <f t="shared" si="34"/>
        <v>5.0539905612369382E-5</v>
      </c>
      <c r="J331" s="311">
        <f t="shared" si="35"/>
        <v>350.57517002983599</v>
      </c>
      <c r="K331" s="312">
        <f>VLOOKUP(B331,'[1]Step 4 Final Title II FY20'!A331:Q728,16,FALSE)</f>
        <v>-98.638197882531642</v>
      </c>
      <c r="L331" s="314">
        <f t="shared" si="36"/>
        <v>1836.6160241276089</v>
      </c>
    </row>
    <row r="332" spans="1:12" ht="15.6" customHeight="1" x14ac:dyDescent="0.3">
      <c r="A332" s="286" t="str">
        <f t="shared" si="31"/>
        <v>9310 Charter School of the Dunes</v>
      </c>
      <c r="B332" s="342">
        <v>9310</v>
      </c>
      <c r="C332" s="343" t="s">
        <v>2479</v>
      </c>
      <c r="D332" s="309">
        <v>352</v>
      </c>
      <c r="E332" s="310">
        <f t="shared" si="32"/>
        <v>2.1510633097042288E-3</v>
      </c>
      <c r="F332" s="311">
        <f t="shared" si="33"/>
        <v>59684.273360410662</v>
      </c>
      <c r="G332" s="312">
        <f>VLOOKUP(B332,'[1]Step 4 Final Title II FY20'!A332:Q729,15,FALSE)</f>
        <v>18687.903280699509</v>
      </c>
      <c r="H332" s="313">
        <v>683</v>
      </c>
      <c r="I332" s="310">
        <f t="shared" si="34"/>
        <v>5.9515095746979802E-4</v>
      </c>
      <c r="J332" s="311">
        <f t="shared" si="35"/>
        <v>4128.3248470754825</v>
      </c>
      <c r="K332" s="312">
        <f>VLOOKUP(B332,'[1]Step 4 Final Title II FY20'!A332:Q729,16,FALSE)</f>
        <v>364.46987031032768</v>
      </c>
      <c r="L332" s="314">
        <f t="shared" si="36"/>
        <v>82864.971358495968</v>
      </c>
    </row>
    <row r="333" spans="1:12" ht="15.6" customHeight="1" x14ac:dyDescent="0.3">
      <c r="A333" s="286" t="str">
        <f t="shared" si="31"/>
        <v>9315 Signature School Inc</v>
      </c>
      <c r="B333" s="342">
        <v>9315</v>
      </c>
      <c r="C333" s="343" t="s">
        <v>2480</v>
      </c>
      <c r="D333" s="309">
        <v>19</v>
      </c>
      <c r="E333" s="310">
        <f t="shared" si="32"/>
        <v>1.1610853092153508E-4</v>
      </c>
      <c r="F333" s="311">
        <f t="shared" si="33"/>
        <v>3221.5943007039846</v>
      </c>
      <c r="G333" s="312">
        <f>VLOOKUP(B333,'[1]Step 4 Final Title II FY20'!A333:Q730,15,FALSE)</f>
        <v>40.927765000210456</v>
      </c>
      <c r="H333" s="313">
        <v>367</v>
      </c>
      <c r="I333" s="310">
        <f t="shared" si="34"/>
        <v>3.1979560965068209E-4</v>
      </c>
      <c r="J333" s="311">
        <f t="shared" si="35"/>
        <v>2218.2946103612035</v>
      </c>
      <c r="K333" s="312">
        <f>VLOOKUP(B333,'[1]Step 4 Final Title II FY20'!A333:Q730,16,FALSE)</f>
        <v>37.246209039573841</v>
      </c>
      <c r="L333" s="314">
        <f t="shared" si="36"/>
        <v>5518.0628851049723</v>
      </c>
    </row>
    <row r="334" spans="1:12" ht="15.6" customHeight="1" x14ac:dyDescent="0.3">
      <c r="A334" s="286" t="str">
        <f t="shared" si="31"/>
        <v>9320 Community Montessori Inc</v>
      </c>
      <c r="B334" s="334">
        <v>9320</v>
      </c>
      <c r="C334" s="335" t="s">
        <v>2481</v>
      </c>
      <c r="D334" s="336">
        <v>39</v>
      </c>
      <c r="E334" s="337">
        <f t="shared" si="32"/>
        <v>2.3832803715472989E-4</v>
      </c>
      <c r="F334" s="338">
        <f t="shared" si="33"/>
        <v>6612.7461961818626</v>
      </c>
      <c r="G334" s="339"/>
      <c r="H334" s="340">
        <v>524</v>
      </c>
      <c r="I334" s="337">
        <f t="shared" si="34"/>
        <v>4.5660190587726822E-4</v>
      </c>
      <c r="J334" s="338">
        <f t="shared" si="35"/>
        <v>3167.2653292350701</v>
      </c>
      <c r="K334" s="339"/>
      <c r="L334" s="341">
        <f t="shared" si="36"/>
        <v>9780.0115254169323</v>
      </c>
    </row>
    <row r="335" spans="1:12" ht="15.6" customHeight="1" x14ac:dyDescent="0.3">
      <c r="A335" s="286" t="str">
        <f t="shared" si="31"/>
        <v>9325 Options Charter Schools</v>
      </c>
      <c r="B335" s="344">
        <v>9325</v>
      </c>
      <c r="C335" s="345" t="s">
        <v>2482</v>
      </c>
      <c r="D335" s="346">
        <v>10</v>
      </c>
      <c r="E335" s="347">
        <f t="shared" si="32"/>
        <v>6.1109753116597406E-5</v>
      </c>
      <c r="F335" s="348">
        <f t="shared" si="33"/>
        <v>1695.575947738939</v>
      </c>
      <c r="G335" s="349"/>
      <c r="H335" s="350">
        <v>427</v>
      </c>
      <c r="I335" s="347">
        <f t="shared" si="34"/>
        <v>3.7207827062899526E-4</v>
      </c>
      <c r="J335" s="348">
        <f t="shared" si="35"/>
        <v>2580.9585793575857</v>
      </c>
      <c r="K335" s="349"/>
      <c r="L335" s="351">
        <f t="shared" si="36"/>
        <v>4276.5345270965245</v>
      </c>
    </row>
    <row r="336" spans="1:12" ht="15.6" customHeight="1" x14ac:dyDescent="0.3">
      <c r="A336" s="286" t="str">
        <f t="shared" si="31"/>
        <v>9330 Irvington Community School</v>
      </c>
      <c r="B336" s="342">
        <v>9330</v>
      </c>
      <c r="C336" s="343" t="s">
        <v>2483</v>
      </c>
      <c r="D336" s="309">
        <v>252</v>
      </c>
      <c r="E336" s="310">
        <f t="shared" si="32"/>
        <v>1.5399657785382546E-3</v>
      </c>
      <c r="F336" s="311">
        <f t="shared" si="33"/>
        <v>42728.513883021267</v>
      </c>
      <c r="G336" s="312">
        <f>VLOOKUP(B336,'[1]Step 4 Final Title II FY20'!A336:Q733,15,FALSE)</f>
        <v>6256.2818848301176</v>
      </c>
      <c r="H336" s="313">
        <v>984</v>
      </c>
      <c r="I336" s="310">
        <f t="shared" si="34"/>
        <v>8.5743564004433571E-4</v>
      </c>
      <c r="J336" s="311">
        <f t="shared" si="35"/>
        <v>5947.6890915406657</v>
      </c>
      <c r="K336" s="312">
        <f>VLOOKUP(B336,'[1]Step 4 Final Title II FY20'!A336:Q733,16,FALSE)</f>
        <v>368.35559084648594</v>
      </c>
      <c r="L336" s="314">
        <f t="shared" si="36"/>
        <v>55300.840450238531</v>
      </c>
    </row>
    <row r="337" spans="1:12" ht="15.6" customHeight="1" x14ac:dyDescent="0.3">
      <c r="A337" s="286" t="str">
        <f t="shared" si="31"/>
        <v>9335 Excel Center - Lafayette Square</v>
      </c>
      <c r="B337" s="342">
        <v>9335</v>
      </c>
      <c r="C337" s="343" t="s">
        <v>2484</v>
      </c>
      <c r="D337" s="309">
        <v>0</v>
      </c>
      <c r="E337" s="310">
        <f t="shared" si="32"/>
        <v>0</v>
      </c>
      <c r="F337" s="311">
        <f t="shared" si="33"/>
        <v>0</v>
      </c>
      <c r="G337" s="312">
        <f>VLOOKUP(B337,'[1]Step 4 Final Title II FY20'!A337:Q734,15,FALSE)</f>
        <v>482.75429730659152</v>
      </c>
      <c r="H337" s="313">
        <v>6</v>
      </c>
      <c r="I337" s="310">
        <f t="shared" si="34"/>
        <v>5.2282660978313151E-6</v>
      </c>
      <c r="J337" s="311">
        <f t="shared" si="35"/>
        <v>36.266396899638202</v>
      </c>
      <c r="K337" s="312">
        <f>VLOOKUP(B337,'[1]Step 4 Final Title II FY20'!A337:Q734,16,FALSE)</f>
        <v>86.197710057288987</v>
      </c>
      <c r="L337" s="314">
        <f t="shared" si="36"/>
        <v>605.21840426351866</v>
      </c>
    </row>
    <row r="338" spans="1:12" ht="15.6" customHeight="1" x14ac:dyDescent="0.3">
      <c r="A338" s="286" t="str">
        <f t="shared" si="31"/>
        <v>9345 Excel Center - Lafayette</v>
      </c>
      <c r="B338" s="342">
        <v>9345</v>
      </c>
      <c r="C338" s="343" t="s">
        <v>2485</v>
      </c>
      <c r="D338" s="309">
        <v>17</v>
      </c>
      <c r="E338" s="310">
        <f t="shared" si="32"/>
        <v>1.038865802982156E-4</v>
      </c>
      <c r="F338" s="311">
        <f t="shared" si="33"/>
        <v>2882.4791111561967</v>
      </c>
      <c r="G338" s="312">
        <f>VLOOKUP(B338,'[1]Step 4 Final Title II FY20'!A338:Q735,15,FALSE)</f>
        <v>1328.2725578177869</v>
      </c>
      <c r="H338" s="313">
        <v>94</v>
      </c>
      <c r="I338" s="310">
        <f t="shared" si="34"/>
        <v>8.1909502199357272E-5</v>
      </c>
      <c r="J338" s="311">
        <f t="shared" si="35"/>
        <v>568.17355142766519</v>
      </c>
      <c r="K338" s="312">
        <f>VLOOKUP(B338,'[1]Step 4 Final Title II FY20'!A338:Q735,16,FALSE)</f>
        <v>206.45533831450234</v>
      </c>
      <c r="L338" s="314">
        <f t="shared" si="36"/>
        <v>4985.3805587161514</v>
      </c>
    </row>
    <row r="339" spans="1:12" ht="15.6" customHeight="1" x14ac:dyDescent="0.3">
      <c r="A339" s="286" t="str">
        <f t="shared" si="31"/>
        <v>9350 Timothy L Johnson Academy</v>
      </c>
      <c r="B339" s="342">
        <v>9350</v>
      </c>
      <c r="C339" s="343" t="s">
        <v>2486</v>
      </c>
      <c r="D339" s="309">
        <v>105</v>
      </c>
      <c r="E339" s="310">
        <f t="shared" si="32"/>
        <v>6.4165240772427279E-4</v>
      </c>
      <c r="F339" s="311">
        <f t="shared" si="33"/>
        <v>17803.547451258863</v>
      </c>
      <c r="G339" s="312">
        <f>VLOOKUP(B339,'[1]Step 4 Final Title II FY20'!A339:Q736,15,FALSE)</f>
        <v>1592.2566420691473</v>
      </c>
      <c r="H339" s="313">
        <v>375</v>
      </c>
      <c r="I339" s="310">
        <f t="shared" si="34"/>
        <v>3.2676663111445723E-4</v>
      </c>
      <c r="J339" s="311">
        <f t="shared" si="35"/>
        <v>2266.6498062273881</v>
      </c>
      <c r="K339" s="312">
        <f>VLOOKUP(B339,'[1]Step 4 Final Title II FY20'!A339:Q736,16,FALSE)</f>
        <v>314.90529609093255</v>
      </c>
      <c r="L339" s="314">
        <f t="shared" si="36"/>
        <v>21977.359195646332</v>
      </c>
    </row>
    <row r="340" spans="1:12" ht="15.6" customHeight="1" x14ac:dyDescent="0.3">
      <c r="A340" s="286" t="str">
        <f t="shared" si="31"/>
        <v>9355 Excel Center - Kokomo</v>
      </c>
      <c r="B340" s="342">
        <v>9355</v>
      </c>
      <c r="C340" s="343" t="s">
        <v>2487</v>
      </c>
      <c r="D340" s="309">
        <v>13</v>
      </c>
      <c r="E340" s="310">
        <f t="shared" si="32"/>
        <v>7.9442679051576636E-5</v>
      </c>
      <c r="F340" s="311">
        <f t="shared" si="33"/>
        <v>2204.248732060621</v>
      </c>
      <c r="G340" s="312">
        <f>VLOOKUP(B340,'[1]Step 4 Final Title II FY20'!A340:Q737,15,FALSE)</f>
        <v>-918.4416648629408</v>
      </c>
      <c r="H340" s="313">
        <v>54</v>
      </c>
      <c r="I340" s="310">
        <f t="shared" si="34"/>
        <v>4.7054394880481836E-5</v>
      </c>
      <c r="J340" s="311">
        <f t="shared" si="35"/>
        <v>326.39757209674383</v>
      </c>
      <c r="K340" s="312">
        <f>VLOOKUP(B340,'[1]Step 4 Final Title II FY20'!A340:Q737,16,FALSE)</f>
        <v>-12.518202235965873</v>
      </c>
      <c r="L340" s="314">
        <f t="shared" si="36"/>
        <v>1599.6864370584581</v>
      </c>
    </row>
    <row r="341" spans="1:12" ht="15.6" customHeight="1" x14ac:dyDescent="0.3">
      <c r="A341" s="286" t="str">
        <f t="shared" si="31"/>
        <v>9365 Enlace Academy</v>
      </c>
      <c r="B341" s="342">
        <v>9365</v>
      </c>
      <c r="C341" s="343" t="s">
        <v>2488</v>
      </c>
      <c r="D341" s="309">
        <v>222</v>
      </c>
      <c r="E341" s="310">
        <f t="shared" si="32"/>
        <v>1.3566365191884624E-3</v>
      </c>
      <c r="F341" s="311">
        <f t="shared" si="33"/>
        <v>37641.78603980445</v>
      </c>
      <c r="G341" s="312">
        <f>VLOOKUP(B341,'[1]Step 4 Final Title II FY20'!A341:Q738,15,FALSE)</f>
        <v>12892.888923730352</v>
      </c>
      <c r="H341" s="313">
        <v>604</v>
      </c>
      <c r="I341" s="310">
        <f t="shared" si="34"/>
        <v>5.2631212051501911E-4</v>
      </c>
      <c r="J341" s="311">
        <f t="shared" si="35"/>
        <v>3650.8172878969131</v>
      </c>
      <c r="K341" s="312">
        <f>VLOOKUP(B341,'[1]Step 4 Final Title II FY20'!A341:Q738,16,FALSE)</f>
        <v>903.05454311600397</v>
      </c>
      <c r="L341" s="314">
        <f t="shared" si="36"/>
        <v>55088.546794547721</v>
      </c>
    </row>
    <row r="342" spans="1:12" ht="15.6" customHeight="1" x14ac:dyDescent="0.3">
      <c r="A342" s="286" t="str">
        <f t="shared" si="31"/>
        <v>9380 Christel House Academy South</v>
      </c>
      <c r="B342" s="342">
        <v>9380</v>
      </c>
      <c r="C342" s="343" t="s">
        <v>2489</v>
      </c>
      <c r="D342" s="309">
        <v>239</v>
      </c>
      <c r="E342" s="310">
        <f t="shared" si="32"/>
        <v>1.460523099486678E-3</v>
      </c>
      <c r="F342" s="311">
        <f t="shared" si="33"/>
        <v>40524.265150960644</v>
      </c>
      <c r="G342" s="312">
        <f>VLOOKUP(B342,'[1]Step 4 Final Title II FY20'!A342:Q739,15,FALSE)</f>
        <v>-3689.9444357559551</v>
      </c>
      <c r="H342" s="313">
        <v>662</v>
      </c>
      <c r="I342" s="310">
        <f t="shared" si="34"/>
        <v>5.7685202612738843E-4</v>
      </c>
      <c r="J342" s="311">
        <f t="shared" si="35"/>
        <v>4001.3924579267486</v>
      </c>
      <c r="K342" s="312">
        <f>VLOOKUP(B342,'[1]Step 4 Final Title II FY20'!A342:Q739,16,FALSE)</f>
        <v>60.120172044500578</v>
      </c>
      <c r="L342" s="314">
        <f t="shared" si="36"/>
        <v>40895.833345175939</v>
      </c>
    </row>
    <row r="343" spans="1:12" ht="15.6" customHeight="1" x14ac:dyDescent="0.3">
      <c r="A343" s="286" t="str">
        <f t="shared" si="31"/>
        <v>9385 Christel House DORS</v>
      </c>
      <c r="B343" s="342">
        <v>9385</v>
      </c>
      <c r="C343" s="343" t="s">
        <v>2490</v>
      </c>
      <c r="D343" s="309">
        <v>0</v>
      </c>
      <c r="E343" s="310">
        <f t="shared" si="32"/>
        <v>0</v>
      </c>
      <c r="F343" s="311">
        <f t="shared" si="33"/>
        <v>0</v>
      </c>
      <c r="G343" s="312">
        <f>VLOOKUP(B343,'[1]Step 4 Final Title II FY20'!A343:Q740,15,FALSE)</f>
        <v>4.0927765000210456</v>
      </c>
      <c r="H343" s="313">
        <v>10</v>
      </c>
      <c r="I343" s="310">
        <f t="shared" si="34"/>
        <v>8.7137768297188591E-6</v>
      </c>
      <c r="J343" s="311">
        <f t="shared" si="35"/>
        <v>60.443994832730347</v>
      </c>
      <c r="K343" s="312">
        <f>VLOOKUP(B343,'[1]Step 4 Final Title II FY20'!A343:Q740,16,FALSE)</f>
        <v>-13.173223697775384</v>
      </c>
      <c r="L343" s="314">
        <f t="shared" si="36"/>
        <v>51.363547634976001</v>
      </c>
    </row>
    <row r="344" spans="1:12" ht="15.6" customHeight="1" x14ac:dyDescent="0.3">
      <c r="A344" s="286" t="str">
        <f t="shared" si="31"/>
        <v>9395 Christel House Academy West</v>
      </c>
      <c r="B344" s="334">
        <v>9395</v>
      </c>
      <c r="C344" s="335" t="s">
        <v>2491</v>
      </c>
      <c r="D344" s="336">
        <v>178</v>
      </c>
      <c r="E344" s="337">
        <f t="shared" si="32"/>
        <v>1.0877536054754338E-3</v>
      </c>
      <c r="F344" s="338">
        <f t="shared" si="33"/>
        <v>30181.251869753116</v>
      </c>
      <c r="G344" s="339"/>
      <c r="H344" s="340">
        <v>488</v>
      </c>
      <c r="I344" s="337">
        <f t="shared" si="34"/>
        <v>4.2523230929028029E-4</v>
      </c>
      <c r="J344" s="338">
        <f t="shared" si="35"/>
        <v>2949.6669478372405</v>
      </c>
      <c r="K344" s="339"/>
      <c r="L344" s="341">
        <f t="shared" si="36"/>
        <v>33130.918817590355</v>
      </c>
    </row>
    <row r="345" spans="1:12" ht="15.6" customHeight="1" x14ac:dyDescent="0.3">
      <c r="A345" s="286" t="str">
        <f t="shared" si="31"/>
        <v>9400 KIPP Indy College Prep Middle</v>
      </c>
      <c r="B345" s="342">
        <v>9400</v>
      </c>
      <c r="C345" s="343" t="s">
        <v>2492</v>
      </c>
      <c r="D345" s="309">
        <v>162</v>
      </c>
      <c r="E345" s="310">
        <f t="shared" si="32"/>
        <v>9.8997800048887812E-4</v>
      </c>
      <c r="F345" s="311">
        <f t="shared" si="33"/>
        <v>27468.330353370817</v>
      </c>
      <c r="G345" s="312">
        <f>VLOOKUP(B345,'[1]Step 4 Final Title II FY20'!A345:Q742,15,FALSE)</f>
        <v>-966.06183756592145</v>
      </c>
      <c r="H345" s="313">
        <v>374</v>
      </c>
      <c r="I345" s="310">
        <f t="shared" si="34"/>
        <v>3.2589525343148531E-4</v>
      </c>
      <c r="J345" s="311">
        <f t="shared" si="35"/>
        <v>2260.6054067441146</v>
      </c>
      <c r="K345" s="312">
        <f>VLOOKUP(B345,'[1]Step 4 Final Title II FY20'!A345:Q742,16,FALSE)</f>
        <v>-9.9647287407760814</v>
      </c>
      <c r="L345" s="314">
        <f t="shared" si="36"/>
        <v>28752.909193808235</v>
      </c>
    </row>
    <row r="346" spans="1:12" ht="15.6" customHeight="1" x14ac:dyDescent="0.3">
      <c r="A346" s="286" t="str">
        <f t="shared" si="31"/>
        <v>9410 KIPP Indy Unite Elementary</v>
      </c>
      <c r="B346" s="342">
        <v>9410</v>
      </c>
      <c r="C346" s="343" t="s">
        <v>2493</v>
      </c>
      <c r="D346" s="309">
        <v>285</v>
      </c>
      <c r="E346" s="310">
        <f t="shared" si="32"/>
        <v>1.7416279638230261E-3</v>
      </c>
      <c r="F346" s="311">
        <f t="shared" si="33"/>
        <v>48323.914510559764</v>
      </c>
      <c r="G346" s="312">
        <f>VLOOKUP(B346,'[1]Step 4 Final Title II FY20'!A346:Q743,15,FALSE)</f>
        <v>22335.783814843504</v>
      </c>
      <c r="H346" s="313">
        <v>637</v>
      </c>
      <c r="I346" s="310">
        <f t="shared" si="34"/>
        <v>5.5506758405309128E-4</v>
      </c>
      <c r="J346" s="311">
        <f t="shared" si="35"/>
        <v>3850.2824708449225</v>
      </c>
      <c r="K346" s="312">
        <f>VLOOKUP(B346,'[1]Step 4 Final Title II FY20'!A346:Q743,16,FALSE)</f>
        <v>1411.9639791105383</v>
      </c>
      <c r="L346" s="314">
        <f t="shared" si="36"/>
        <v>75921.94477535873</v>
      </c>
    </row>
    <row r="347" spans="1:12" ht="15.6" customHeight="1" x14ac:dyDescent="0.3">
      <c r="A347" s="286" t="str">
        <f t="shared" si="31"/>
        <v>9425 Tindley Genesis Academy</v>
      </c>
      <c r="B347" s="352">
        <v>9425</v>
      </c>
      <c r="C347" s="353" t="s">
        <v>2494</v>
      </c>
      <c r="D347" s="354">
        <v>157</v>
      </c>
      <c r="E347" s="355">
        <f t="shared" si="32"/>
        <v>9.5942312393057928E-4</v>
      </c>
      <c r="F347" s="356">
        <f t="shared" si="33"/>
        <v>26620.542379501345</v>
      </c>
      <c r="G347" s="357">
        <f>VLOOKUP(B347,'[1]Step 4 Final Title II FY20'!A347:Q744,15,FALSE)</f>
        <v>-2613.3776326894586</v>
      </c>
      <c r="H347" s="358">
        <v>446</v>
      </c>
      <c r="I347" s="355">
        <f t="shared" si="34"/>
        <v>3.8863444660546112E-4</v>
      </c>
      <c r="J347" s="356">
        <f t="shared" si="35"/>
        <v>2695.8021695397733</v>
      </c>
      <c r="K347" s="357">
        <f>VLOOKUP(B347,'[1]Step 4 Final Title II FY20'!A347:Q744,16,FALSE)</f>
        <v>-173.63639071157922</v>
      </c>
      <c r="L347" s="359">
        <f t="shared" si="36"/>
        <v>26529.330525640078</v>
      </c>
    </row>
    <row r="348" spans="1:12" ht="15.6" customHeight="1" x14ac:dyDescent="0.3">
      <c r="A348" s="286" t="str">
        <f t="shared" si="31"/>
        <v>9430 Tindley Summit Academy</v>
      </c>
      <c r="B348" s="352">
        <v>9430</v>
      </c>
      <c r="C348" s="353" t="s">
        <v>2495</v>
      </c>
      <c r="D348" s="354">
        <v>95</v>
      </c>
      <c r="E348" s="355">
        <f t="shared" si="32"/>
        <v>5.8054265460767544E-4</v>
      </c>
      <c r="F348" s="356">
        <f t="shared" si="33"/>
        <v>16107.971503519924</v>
      </c>
      <c r="G348" s="357">
        <f>VLOOKUP(B348,'[1]Step 4 Final Title II FY20'!A348:Q745,15,FALSE)</f>
        <v>-2775.042304440296</v>
      </c>
      <c r="H348" s="358">
        <v>267</v>
      </c>
      <c r="I348" s="355">
        <f t="shared" si="34"/>
        <v>2.3265784135349354E-4</v>
      </c>
      <c r="J348" s="356">
        <f t="shared" si="35"/>
        <v>1613.8546620339002</v>
      </c>
      <c r="K348" s="357">
        <f>VLOOKUP(B348,'[1]Step 4 Final Title II FY20'!A348:Q745,16,FALSE)</f>
        <v>-235.15296217452851</v>
      </c>
      <c r="L348" s="359">
        <f t="shared" si="36"/>
        <v>14711.630898939</v>
      </c>
    </row>
    <row r="349" spans="1:12" ht="15.6" customHeight="1" x14ac:dyDescent="0.3">
      <c r="A349" s="286" t="str">
        <f t="shared" si="31"/>
        <v>9445 Charles A Tindley Accelerated Sch</v>
      </c>
      <c r="B349" s="352">
        <v>9445</v>
      </c>
      <c r="C349" s="353" t="s">
        <v>2496</v>
      </c>
      <c r="D349" s="354">
        <v>108</v>
      </c>
      <c r="E349" s="355">
        <f t="shared" si="32"/>
        <v>6.5998533365925201E-4</v>
      </c>
      <c r="F349" s="356">
        <f t="shared" si="33"/>
        <v>18312.220235580542</v>
      </c>
      <c r="G349" s="357"/>
      <c r="H349" s="358">
        <v>365</v>
      </c>
      <c r="I349" s="355">
        <f t="shared" si="34"/>
        <v>3.1805285428473836E-4</v>
      </c>
      <c r="J349" s="356">
        <f t="shared" si="35"/>
        <v>2206.2058113946578</v>
      </c>
      <c r="K349" s="357"/>
      <c r="L349" s="359">
        <f t="shared" si="36"/>
        <v>20518.426046975201</v>
      </c>
    </row>
    <row r="350" spans="1:12" ht="15.6" customHeight="1" x14ac:dyDescent="0.3">
      <c r="A350" s="286" t="str">
        <f t="shared" si="31"/>
        <v>9460 Thea Bowman Leadership Academy</v>
      </c>
      <c r="B350" s="342">
        <v>9460</v>
      </c>
      <c r="C350" s="343" t="s">
        <v>2497</v>
      </c>
      <c r="D350" s="309">
        <v>460</v>
      </c>
      <c r="E350" s="310">
        <f t="shared" si="32"/>
        <v>2.811048643363481E-3</v>
      </c>
      <c r="F350" s="311">
        <f t="shared" si="33"/>
        <v>77996.493595991211</v>
      </c>
      <c r="G350" s="312">
        <f>VLOOKUP(B350,'[1]Step 4 Final Title II FY20'!A350:Q747,15,FALSE)</f>
        <v>21682.849030235448</v>
      </c>
      <c r="H350" s="313">
        <v>841</v>
      </c>
      <c r="I350" s="310">
        <f t="shared" si="34"/>
        <v>7.3282863137935606E-4</v>
      </c>
      <c r="J350" s="311">
        <f t="shared" si="35"/>
        <v>5083.3399654326222</v>
      </c>
      <c r="K350" s="312">
        <f>VLOOKUP(B350,'[1]Step 4 Final Title II FY20'!A350:Q747,16,FALSE)</f>
        <v>11.679365725824027</v>
      </c>
      <c r="L350" s="314">
        <f t="shared" si="36"/>
        <v>104774.3619573851</v>
      </c>
    </row>
    <row r="351" spans="1:12" ht="15.6" customHeight="1" x14ac:dyDescent="0.3">
      <c r="A351" s="286" t="str">
        <f t="shared" si="31"/>
        <v>9465 Rural Community Schools Inc</v>
      </c>
      <c r="B351" s="342">
        <v>9465</v>
      </c>
      <c r="C351" s="343" t="s">
        <v>2498</v>
      </c>
      <c r="D351" s="309">
        <v>27</v>
      </c>
      <c r="E351" s="310">
        <f t="shared" si="32"/>
        <v>1.64996333414813E-4</v>
      </c>
      <c r="F351" s="311">
        <f t="shared" si="33"/>
        <v>4578.0550588951355</v>
      </c>
      <c r="G351" s="312">
        <f>VLOOKUP(B351,'[1]Step 4 Final Title II FY20'!A351:Q748,15,FALSE)</f>
        <v>-258.39816245406746</v>
      </c>
      <c r="H351" s="313">
        <v>95</v>
      </c>
      <c r="I351" s="310">
        <f t="shared" si="34"/>
        <v>8.2780879882329164E-5</v>
      </c>
      <c r="J351" s="311">
        <f t="shared" si="35"/>
        <v>574.21795091093827</v>
      </c>
      <c r="K351" s="312">
        <f>VLOOKUP(B351,'[1]Step 4 Final Title II FY20'!A351:Q748,16,FALSE)</f>
        <v>-263.51998424888143</v>
      </c>
      <c r="L351" s="314">
        <f t="shared" si="36"/>
        <v>4630.3548631031244</v>
      </c>
    </row>
    <row r="352" spans="1:12" ht="15.6" customHeight="1" x14ac:dyDescent="0.3">
      <c r="A352" s="286" t="str">
        <f t="shared" si="31"/>
        <v>9485 SE Neighborhood Sch of Excellence</v>
      </c>
      <c r="B352" s="342">
        <v>9485</v>
      </c>
      <c r="C352" s="343" t="s">
        <v>2499</v>
      </c>
      <c r="D352" s="309">
        <v>294</v>
      </c>
      <c r="E352" s="310">
        <f t="shared" si="32"/>
        <v>1.7966267416279639E-3</v>
      </c>
      <c r="F352" s="311">
        <f t="shared" si="33"/>
        <v>49849.932863524809</v>
      </c>
      <c r="G352" s="312">
        <f>VLOOKUP(B352,'[1]Step 4 Final Title II FY20'!A352:Q749,15,FALSE)</f>
        <v>355.51831254909484</v>
      </c>
      <c r="H352" s="313">
        <v>647</v>
      </c>
      <c r="I352" s="310">
        <f t="shared" si="34"/>
        <v>5.6378136088281014E-4</v>
      </c>
      <c r="J352" s="311">
        <f t="shared" si="35"/>
        <v>3910.7264656776529</v>
      </c>
      <c r="K352" s="312">
        <f>VLOOKUP(B352,'[1]Step 4 Final Title II FY20'!A352:Q749,16,FALSE)</f>
        <v>125.79755553590803</v>
      </c>
      <c r="L352" s="314">
        <f t="shared" si="36"/>
        <v>54241.975197287466</v>
      </c>
    </row>
    <row r="353" spans="1:12" ht="15.6" customHeight="1" x14ac:dyDescent="0.3">
      <c r="A353" s="286" t="str">
        <f t="shared" si="31"/>
        <v>9495 Joshua Academy</v>
      </c>
      <c r="B353" s="342">
        <v>9495</v>
      </c>
      <c r="C353" s="343" t="s">
        <v>2500</v>
      </c>
      <c r="D353" s="309">
        <v>79</v>
      </c>
      <c r="E353" s="310">
        <f t="shared" si="32"/>
        <v>4.8276704962111954E-4</v>
      </c>
      <c r="F353" s="311">
        <f t="shared" si="33"/>
        <v>13395.04998713762</v>
      </c>
      <c r="G353" s="312"/>
      <c r="H353" s="313">
        <v>242</v>
      </c>
      <c r="I353" s="310">
        <f t="shared" si="34"/>
        <v>2.1087339927919639E-4</v>
      </c>
      <c r="J353" s="311">
        <f t="shared" si="35"/>
        <v>1462.7446749520743</v>
      </c>
      <c r="K353" s="312"/>
      <c r="L353" s="314">
        <f t="shared" si="36"/>
        <v>14857.794662089695</v>
      </c>
    </row>
    <row r="354" spans="1:12" ht="15.6" customHeight="1" x14ac:dyDescent="0.3">
      <c r="A354" s="286" t="str">
        <f t="shared" si="31"/>
        <v>9505 Indiana Agriculture and Technology</v>
      </c>
      <c r="B354" s="342">
        <v>9505</v>
      </c>
      <c r="C354" s="343" t="s">
        <v>2501</v>
      </c>
      <c r="D354" s="309">
        <v>3</v>
      </c>
      <c r="E354" s="310">
        <f t="shared" si="32"/>
        <v>1.8332925934979223E-5</v>
      </c>
      <c r="F354" s="311">
        <f t="shared" si="33"/>
        <v>508.67278432168177</v>
      </c>
      <c r="G354" s="312">
        <f>VLOOKUP(B354,'[1]Step 4 Final Title II FY20'!A354:Q751,15,FALSE)</f>
        <v>1359.9022365653614</v>
      </c>
      <c r="H354" s="313">
        <v>220</v>
      </c>
      <c r="I354" s="310">
        <f t="shared" si="34"/>
        <v>1.9170309025381488E-4</v>
      </c>
      <c r="J354" s="311">
        <f t="shared" si="35"/>
        <v>1329.7678863200674</v>
      </c>
      <c r="K354" s="312">
        <f>VLOOKUP(B354,'[1]Step 4 Final Title II FY20'!A354:Q751,16,FALSE)</f>
        <v>1017.1017386463045</v>
      </c>
      <c r="L354" s="314">
        <f t="shared" si="36"/>
        <v>4215.4446458534148</v>
      </c>
    </row>
    <row r="355" spans="1:12" ht="15.6" customHeight="1" x14ac:dyDescent="0.3">
      <c r="A355" s="286" t="str">
        <f t="shared" si="31"/>
        <v>9535 Gary Lighthouse Charter School</v>
      </c>
      <c r="B355" s="342">
        <v>9535</v>
      </c>
      <c r="C355" s="343" t="s">
        <v>2502</v>
      </c>
      <c r="D355" s="309">
        <v>703</v>
      </c>
      <c r="E355" s="310">
        <f t="shared" si="32"/>
        <v>4.2960156440967978E-3</v>
      </c>
      <c r="F355" s="311">
        <f t="shared" si="33"/>
        <v>119198.98912604743</v>
      </c>
      <c r="G355" s="312">
        <f>VLOOKUP(B355,'[1]Step 4 Final Title II FY20'!A355:Q752,15,FALSE)</f>
        <v>21920.976639885281</v>
      </c>
      <c r="H355" s="313">
        <v>1283</v>
      </c>
      <c r="I355" s="310">
        <f t="shared" si="34"/>
        <v>1.1179775672529296E-3</v>
      </c>
      <c r="J355" s="311">
        <f t="shared" si="35"/>
        <v>7754.9645370393027</v>
      </c>
      <c r="K355" s="312">
        <f>VLOOKUP(B355,'[1]Step 4 Final Title II FY20'!A355:Q752,16,FALSE)</f>
        <v>-296.06510251990221</v>
      </c>
      <c r="L355" s="314">
        <f t="shared" si="36"/>
        <v>148578.8652004521</v>
      </c>
    </row>
    <row r="356" spans="1:12" ht="15.6" customHeight="1" x14ac:dyDescent="0.3">
      <c r="A356" s="286" t="str">
        <f t="shared" si="31"/>
        <v>9545 21st Century Charter Sch of Gary</v>
      </c>
      <c r="B356" s="342">
        <v>9545</v>
      </c>
      <c r="C356" s="343" t="s">
        <v>2503</v>
      </c>
      <c r="D356" s="309">
        <v>576</v>
      </c>
      <c r="E356" s="310">
        <f t="shared" si="32"/>
        <v>3.5199217795160108E-3</v>
      </c>
      <c r="F356" s="311">
        <f t="shared" si="33"/>
        <v>97665.174589762901</v>
      </c>
      <c r="G356" s="312">
        <f>VLOOKUP(B356,'[1]Step 4 Final Title II FY20'!A356:Q753,15,FALSE)</f>
        <v>36243.0473732377</v>
      </c>
      <c r="H356" s="313">
        <v>1241</v>
      </c>
      <c r="I356" s="310">
        <f t="shared" si="34"/>
        <v>1.0813797045681104E-3</v>
      </c>
      <c r="J356" s="311">
        <f t="shared" si="35"/>
        <v>7501.0997587418351</v>
      </c>
      <c r="K356" s="312">
        <f>VLOOKUP(B356,'[1]Step 4 Final Title II FY20'!A356:Q753,16,FALSE)</f>
        <v>2116.3914194181698</v>
      </c>
      <c r="L356" s="314">
        <f t="shared" si="36"/>
        <v>143525.71314116058</v>
      </c>
    </row>
    <row r="357" spans="1:12" ht="15.6" customHeight="1" x14ac:dyDescent="0.3">
      <c r="A357" s="286" t="str">
        <f t="shared" si="31"/>
        <v>9555 East Chicago Urban Enterprise Acad</v>
      </c>
      <c r="B357" s="342">
        <v>9555</v>
      </c>
      <c r="C357" s="343" t="s">
        <v>2504</v>
      </c>
      <c r="D357" s="309">
        <v>197</v>
      </c>
      <c r="E357" s="310">
        <f t="shared" si="32"/>
        <v>1.203862136396969E-3</v>
      </c>
      <c r="F357" s="311">
        <f t="shared" si="33"/>
        <v>33402.846170457102</v>
      </c>
      <c r="G357" s="312">
        <f>VLOOKUP(B357,'[1]Step 4 Final Title II FY20'!A357:Q754,15,FALSE)</f>
        <v>7268.1108365449036</v>
      </c>
      <c r="H357" s="313">
        <v>411</v>
      </c>
      <c r="I357" s="310">
        <f t="shared" si="34"/>
        <v>3.581362277014451E-4</v>
      </c>
      <c r="J357" s="311">
        <f t="shared" si="35"/>
        <v>2484.2481876252173</v>
      </c>
      <c r="K357" s="312">
        <f>VLOOKUP(B357,'[1]Step 4 Final Title II FY20'!A357:Q754,16,FALSE)</f>
        <v>-41.77092902972845</v>
      </c>
      <c r="L357" s="314">
        <f t="shared" si="36"/>
        <v>43113.434265597498</v>
      </c>
    </row>
    <row r="358" spans="1:12" ht="15.6" customHeight="1" x14ac:dyDescent="0.3">
      <c r="A358" s="286" t="str">
        <f t="shared" si="31"/>
        <v>9575 Victory College Prep Academy</v>
      </c>
      <c r="B358" s="342">
        <v>9575</v>
      </c>
      <c r="C358" s="343" t="s">
        <v>2505</v>
      </c>
      <c r="D358" s="309">
        <v>383</v>
      </c>
      <c r="E358" s="310">
        <f t="shared" si="32"/>
        <v>2.3405035443656809E-3</v>
      </c>
      <c r="F358" s="311">
        <f t="shared" si="33"/>
        <v>64940.558798401376</v>
      </c>
      <c r="G358" s="312">
        <f>VLOOKUP(B358,'[1]Step 4 Final Title II FY20'!A358:Q755,15,FALSE)</f>
        <v>-5403.29789783257</v>
      </c>
      <c r="H358" s="313">
        <v>936</v>
      </c>
      <c r="I358" s="310">
        <f t="shared" si="34"/>
        <v>8.1560951126168513E-4</v>
      </c>
      <c r="J358" s="311">
        <f t="shared" si="35"/>
        <v>5657.5579163435596</v>
      </c>
      <c r="K358" s="312">
        <f>VLOOKUP(B358,'[1]Step 4 Final Title II FY20'!A358:Q755,16,FALSE)</f>
        <v>320.96702012734022</v>
      </c>
      <c r="L358" s="314">
        <f t="shared" si="36"/>
        <v>65515.785837039708</v>
      </c>
    </row>
    <row r="359" spans="1:12" ht="15.6" customHeight="1" x14ac:dyDescent="0.3">
      <c r="A359" s="286" t="str">
        <f t="shared" si="31"/>
        <v>9595 East Chicago Lighthouse Charter</v>
      </c>
      <c r="B359" s="342">
        <v>9595</v>
      </c>
      <c r="C359" s="343" t="s">
        <v>2506</v>
      </c>
      <c r="D359" s="309">
        <v>266</v>
      </c>
      <c r="E359" s="310">
        <f t="shared" si="32"/>
        <v>1.6255194329014911E-3</v>
      </c>
      <c r="F359" s="311">
        <f t="shared" si="33"/>
        <v>45102.320209855781</v>
      </c>
      <c r="G359" s="312">
        <f>VLOOKUP(B359,'[1]Step 4 Final Title II FY20'!A359:Q756,15,FALSE)</f>
        <v>9351.4031312270818</v>
      </c>
      <c r="H359" s="313">
        <v>515</v>
      </c>
      <c r="I359" s="310">
        <f t="shared" si="34"/>
        <v>4.4875950673052122E-4</v>
      </c>
      <c r="J359" s="311">
        <f t="shared" si="35"/>
        <v>3112.8657338856124</v>
      </c>
      <c r="K359" s="312">
        <f>VLOOKUP(B359,'[1]Step 4 Final Title II FY20'!A359:Q756,16,FALSE)</f>
        <v>-2421.848481444817</v>
      </c>
      <c r="L359" s="314">
        <f t="shared" si="36"/>
        <v>55144.74059352366</v>
      </c>
    </row>
    <row r="360" spans="1:12" ht="15.6" customHeight="1" x14ac:dyDescent="0.3">
      <c r="A360" s="286" t="str">
        <f t="shared" si="31"/>
        <v>9615 Andrew J Brown Academy</v>
      </c>
      <c r="B360" s="342">
        <v>9615</v>
      </c>
      <c r="C360" s="343" t="s">
        <v>2507</v>
      </c>
      <c r="D360" s="309">
        <v>277</v>
      </c>
      <c r="E360" s="310">
        <f t="shared" si="32"/>
        <v>1.6927401613297483E-3</v>
      </c>
      <c r="F360" s="311">
        <f t="shared" si="33"/>
        <v>46967.453752368616</v>
      </c>
      <c r="G360" s="312">
        <f>VLOOKUP(B360,'[1]Step 4 Final Title II FY20'!A360:Q757,15,FALSE)</f>
        <v>2777.4753520820959</v>
      </c>
      <c r="H360" s="313">
        <v>669</v>
      </c>
      <c r="I360" s="310">
        <f t="shared" si="34"/>
        <v>5.829516699081917E-4</v>
      </c>
      <c r="J360" s="311">
        <f t="shared" si="35"/>
        <v>4043.7032543096602</v>
      </c>
      <c r="K360" s="312">
        <f>VLOOKUP(B360,'[1]Step 4 Final Title II FY20'!A360:Q757,16,FALSE)</f>
        <v>67.156417269716258</v>
      </c>
      <c r="L360" s="314">
        <f t="shared" si="36"/>
        <v>53855.788776030087</v>
      </c>
    </row>
    <row r="361" spans="1:12" ht="15.6" customHeight="1" x14ac:dyDescent="0.3">
      <c r="A361" s="286" t="str">
        <f t="shared" si="31"/>
        <v>9620 Burris Laboratory School</v>
      </c>
      <c r="B361" s="342">
        <v>9620</v>
      </c>
      <c r="C361" s="343" t="s">
        <v>2508</v>
      </c>
      <c r="D361" s="309">
        <v>96</v>
      </c>
      <c r="E361" s="310">
        <f t="shared" si="32"/>
        <v>5.8665362991933514E-4</v>
      </c>
      <c r="F361" s="311">
        <f t="shared" si="33"/>
        <v>16277.529098293817</v>
      </c>
      <c r="G361" s="312">
        <f>VLOOKUP(B361,'[1]Step 4 Final Title II FY20'!A361:Q758,15,FALSE)</f>
        <v>4494.1750180100935</v>
      </c>
      <c r="H361" s="313">
        <v>659</v>
      </c>
      <c r="I361" s="310">
        <f t="shared" si="34"/>
        <v>5.7423789307847284E-4</v>
      </c>
      <c r="J361" s="311">
        <f t="shared" si="35"/>
        <v>3983.2592594769299</v>
      </c>
      <c r="K361" s="312">
        <f>VLOOKUP(B361,'[1]Step 4 Final Title II FY20'!A361:Q758,16,FALSE)</f>
        <v>7.29405254930316</v>
      </c>
      <c r="L361" s="314">
        <f t="shared" si="36"/>
        <v>24762.257428330144</v>
      </c>
    </row>
    <row r="362" spans="1:12" ht="15.6" customHeight="1" x14ac:dyDescent="0.3">
      <c r="A362" s="286" t="str">
        <f t="shared" si="31"/>
        <v xml:space="preserve">9625 Indiana Academy for Sci Math Hmn </v>
      </c>
      <c r="B362" s="342">
        <v>9625</v>
      </c>
      <c r="C362" s="343" t="s">
        <v>2509</v>
      </c>
      <c r="D362" s="309">
        <v>2</v>
      </c>
      <c r="E362" s="310">
        <f t="shared" si="32"/>
        <v>1.2221950623319482E-5</v>
      </c>
      <c r="F362" s="311">
        <f t="shared" si="33"/>
        <v>339.11518954778785</v>
      </c>
      <c r="G362" s="312">
        <f>VLOOKUP(B362,'[1]Step 4 Final Title II FY20'!A362:Q759,15,FALSE)</f>
        <v>486.84707380661257</v>
      </c>
      <c r="H362" s="313">
        <v>186</v>
      </c>
      <c r="I362" s="310">
        <f t="shared" si="34"/>
        <v>1.6207624903277076E-4</v>
      </c>
      <c r="J362" s="311">
        <f t="shared" si="35"/>
        <v>1124.2583038887842</v>
      </c>
      <c r="K362" s="312">
        <f>VLOOKUP(B362,'[1]Step 4 Final Title II FY20'!A362:Q759,16,FALSE)</f>
        <v>-487.13172535082094</v>
      </c>
      <c r="L362" s="314">
        <f t="shared" si="36"/>
        <v>1463.0888418923637</v>
      </c>
    </row>
    <row r="363" spans="1:12" ht="15.6" customHeight="1" x14ac:dyDescent="0.3">
      <c r="A363" s="286" t="str">
        <f t="shared" si="31"/>
        <v>9645 Avondale Meadows Academy</v>
      </c>
      <c r="B363" s="342">
        <v>9645</v>
      </c>
      <c r="C363" s="343" t="s">
        <v>2510</v>
      </c>
      <c r="D363" s="309">
        <v>150</v>
      </c>
      <c r="E363" s="310">
        <f t="shared" si="32"/>
        <v>9.1664629674896114E-4</v>
      </c>
      <c r="F363" s="311">
        <f t="shared" si="33"/>
        <v>25433.639216084088</v>
      </c>
      <c r="G363" s="312">
        <f>VLOOKUP(B363,'[1]Step 4 Final Title II FY20'!A363:Q760,15,FALSE)</f>
        <v>1172.9403805128786</v>
      </c>
      <c r="H363" s="313">
        <v>390</v>
      </c>
      <c r="I363" s="310">
        <f t="shared" si="34"/>
        <v>3.3983729635903546E-4</v>
      </c>
      <c r="J363" s="311">
        <f t="shared" si="35"/>
        <v>2357.315798476483</v>
      </c>
      <c r="K363" s="312">
        <f>VLOOKUP(B363,'[1]Step 4 Final Title II FY20'!A363:Q760,16,FALSE)</f>
        <v>-74.654029010130671</v>
      </c>
      <c r="L363" s="314">
        <f t="shared" si="36"/>
        <v>28889.241366063321</v>
      </c>
    </row>
    <row r="364" spans="1:12" ht="15.6" customHeight="1" x14ac:dyDescent="0.3">
      <c r="A364" s="286" t="str">
        <f t="shared" si="31"/>
        <v>9650 Herron Charter</v>
      </c>
      <c r="B364" s="342">
        <v>9650</v>
      </c>
      <c r="C364" s="343" t="s">
        <v>2511</v>
      </c>
      <c r="D364" s="309">
        <v>145</v>
      </c>
      <c r="E364" s="310">
        <f t="shared" si="32"/>
        <v>8.8609142019066241E-4</v>
      </c>
      <c r="F364" s="311">
        <f t="shared" si="33"/>
        <v>24585.851242214616</v>
      </c>
      <c r="G364" s="312">
        <f>VLOOKUP(B364,'[1]Step 4 Final Title II FY20'!A364:Q761,15,FALSE)</f>
        <v>5252.4451564194678</v>
      </c>
      <c r="H364" s="313">
        <v>910</v>
      </c>
      <c r="I364" s="310">
        <f t="shared" si="34"/>
        <v>7.9295369150441612E-4</v>
      </c>
      <c r="J364" s="311">
        <f t="shared" si="35"/>
        <v>5500.4035297784612</v>
      </c>
      <c r="K364" s="312">
        <f>VLOOKUP(B364,'[1]Step 4 Final Title II FY20'!A364:Q761,16,FALSE)</f>
        <v>400.29501583953424</v>
      </c>
      <c r="L364" s="314">
        <f t="shared" si="36"/>
        <v>35738.994944252081</v>
      </c>
    </row>
    <row r="365" spans="1:12" ht="15.6" customHeight="1" x14ac:dyDescent="0.3">
      <c r="A365" s="286" t="str">
        <f t="shared" si="31"/>
        <v>9651 The Hope Academy, Inc.</v>
      </c>
      <c r="B365" s="344">
        <v>9651</v>
      </c>
      <c r="C365" s="345" t="s">
        <v>2512</v>
      </c>
      <c r="D365" s="346">
        <v>1</v>
      </c>
      <c r="E365" s="347">
        <f t="shared" si="32"/>
        <v>6.1109753116597408E-6</v>
      </c>
      <c r="F365" s="348">
        <f t="shared" si="33"/>
        <v>169.55759477389392</v>
      </c>
      <c r="G365" s="349"/>
      <c r="H365" s="350">
        <v>19</v>
      </c>
      <c r="I365" s="347">
        <f t="shared" si="34"/>
        <v>1.655617597646583E-5</v>
      </c>
      <c r="J365" s="348">
        <f t="shared" si="35"/>
        <v>114.84359018218764</v>
      </c>
      <c r="K365" s="349"/>
      <c r="L365" s="351">
        <f t="shared" si="36"/>
        <v>284.40118495608158</v>
      </c>
    </row>
    <row r="366" spans="1:12" ht="15.6" customHeight="1" x14ac:dyDescent="0.3">
      <c r="A366" s="286" t="str">
        <f t="shared" si="31"/>
        <v>9665 Geist Montessori Academy</v>
      </c>
      <c r="B366" s="342">
        <v>9665</v>
      </c>
      <c r="C366" s="343" t="s">
        <v>2513</v>
      </c>
      <c r="D366" s="309">
        <v>0</v>
      </c>
      <c r="E366" s="310">
        <f t="shared" si="32"/>
        <v>0</v>
      </c>
      <c r="F366" s="311">
        <f t="shared" si="33"/>
        <v>0</v>
      </c>
      <c r="G366" s="312">
        <f>VLOOKUP(B366,'[1]Step 4 Final Title II FY20'!A366:Q763,15,FALSE)</f>
        <v>-631.39406690872556</v>
      </c>
      <c r="H366" s="313">
        <v>270</v>
      </c>
      <c r="I366" s="310">
        <f t="shared" si="34"/>
        <v>2.3527197440240919E-4</v>
      </c>
      <c r="J366" s="311">
        <f t="shared" si="35"/>
        <v>1631.9878604837193</v>
      </c>
      <c r="K366" s="312">
        <f>VLOOKUP(B366,'[1]Step 4 Final Title II FY20'!A366:Q763,16,FALSE)</f>
        <v>-121.64292561698676</v>
      </c>
      <c r="L366" s="314">
        <f t="shared" si="36"/>
        <v>878.95086795800694</v>
      </c>
    </row>
    <row r="367" spans="1:12" ht="15.6" customHeight="1" x14ac:dyDescent="0.3">
      <c r="A367" s="286" t="str">
        <f t="shared" si="31"/>
        <v>9670 Indianapolis Metropolitan High Sch</v>
      </c>
      <c r="B367" s="342">
        <v>9670</v>
      </c>
      <c r="C367" s="343" t="s">
        <v>2514</v>
      </c>
      <c r="D367" s="309">
        <v>71</v>
      </c>
      <c r="E367" s="310">
        <f t="shared" si="32"/>
        <v>4.338792471278416E-4</v>
      </c>
      <c r="F367" s="311">
        <f t="shared" si="33"/>
        <v>12038.589228946468</v>
      </c>
      <c r="G367" s="312">
        <f>VLOOKUP(B367,'[1]Step 4 Final Title II FY20'!A367:Q764,15,FALSE)</f>
        <v>4310.7466481577794</v>
      </c>
      <c r="H367" s="313">
        <v>223</v>
      </c>
      <c r="I367" s="310">
        <f t="shared" si="34"/>
        <v>1.9431722330273056E-4</v>
      </c>
      <c r="J367" s="311">
        <f t="shared" si="35"/>
        <v>1347.9010847698867</v>
      </c>
      <c r="K367" s="312">
        <f>VLOOKUP(B367,'[1]Step 4 Final Title II FY20'!A367:Q764,16,FALSE)</f>
        <v>94.965876435762766</v>
      </c>
      <c r="L367" s="314">
        <f t="shared" si="36"/>
        <v>17792.202838309899</v>
      </c>
    </row>
    <row r="368" spans="1:12" ht="15.6" customHeight="1" x14ac:dyDescent="0.3">
      <c r="A368" s="286" t="str">
        <f t="shared" si="31"/>
        <v xml:space="preserve">9680 Paramount Brookside </v>
      </c>
      <c r="B368" s="342">
        <v>9680</v>
      </c>
      <c r="C368" s="343" t="s">
        <v>2515</v>
      </c>
      <c r="D368" s="309">
        <v>289</v>
      </c>
      <c r="E368" s="310">
        <f t="shared" si="32"/>
        <v>1.7660718650696651E-3</v>
      </c>
      <c r="F368" s="311">
        <f t="shared" si="33"/>
        <v>49002.144889655341</v>
      </c>
      <c r="G368" s="312">
        <f>VLOOKUP(B368,'[1]Step 4 Final Title II FY20'!A368:Q765,15,FALSE)</f>
        <v>-2939.8598503466201</v>
      </c>
      <c r="H368" s="313">
        <v>842</v>
      </c>
      <c r="I368" s="310">
        <f t="shared" si="34"/>
        <v>7.3370000906232793E-4</v>
      </c>
      <c r="J368" s="311">
        <f t="shared" si="35"/>
        <v>5089.3843649158953</v>
      </c>
      <c r="K368" s="312">
        <f>VLOOKUP(B368,'[1]Step 4 Final Title II FY20'!A368:Q765,16,FALSE)</f>
        <v>48.634461265285609</v>
      </c>
      <c r="L368" s="314">
        <f t="shared" si="36"/>
        <v>51200.303865489899</v>
      </c>
    </row>
    <row r="369" spans="1:12" ht="15.6" customHeight="1" x14ac:dyDescent="0.3">
      <c r="A369" s="286" t="str">
        <f t="shared" si="31"/>
        <v>9685 Aspire Charter Academy</v>
      </c>
      <c r="B369" s="342">
        <v>9685</v>
      </c>
      <c r="C369" s="343" t="s">
        <v>2516</v>
      </c>
      <c r="D369" s="309">
        <v>332</v>
      </c>
      <c r="E369" s="310">
        <f t="shared" si="32"/>
        <v>2.0288438034710339E-3</v>
      </c>
      <c r="F369" s="311">
        <f t="shared" si="33"/>
        <v>56293.121464932774</v>
      </c>
      <c r="G369" s="312">
        <f>VLOOKUP(B369,'[1]Step 4 Final Title II FY20'!A369:Q766,15,FALSE)</f>
        <v>6393.3898975808115</v>
      </c>
      <c r="H369" s="313">
        <v>647</v>
      </c>
      <c r="I369" s="310">
        <f t="shared" si="34"/>
        <v>5.6378136088281014E-4</v>
      </c>
      <c r="J369" s="311">
        <f t="shared" si="35"/>
        <v>3910.7264656776529</v>
      </c>
      <c r="K369" s="312">
        <f>VLOOKUP(B369,'[1]Step 4 Final Title II FY20'!A369:Q766,16,FALSE)</f>
        <v>-409.69972169743596</v>
      </c>
      <c r="L369" s="314">
        <f t="shared" si="36"/>
        <v>66187.538106493797</v>
      </c>
    </row>
    <row r="370" spans="1:12" ht="15.6" customHeight="1" x14ac:dyDescent="0.3">
      <c r="A370" s="286" t="str">
        <f t="shared" si="31"/>
        <v>9690 Renaissance Academy Charter School</v>
      </c>
      <c r="B370" s="342">
        <v>9690</v>
      </c>
      <c r="C370" s="343" t="s">
        <v>2517</v>
      </c>
      <c r="D370" s="309">
        <v>52</v>
      </c>
      <c r="E370" s="310">
        <f t="shared" si="32"/>
        <v>3.1777071620630654E-4</v>
      </c>
      <c r="F370" s="311">
        <f t="shared" si="33"/>
        <v>8816.9949282424841</v>
      </c>
      <c r="G370" s="312">
        <f>VLOOKUP(B370,'[1]Step 4 Final Title II FY20'!A370:Q767,15,FALSE)</f>
        <v>1004.3899713633832</v>
      </c>
      <c r="H370" s="313">
        <v>252</v>
      </c>
      <c r="I370" s="310">
        <f t="shared" si="34"/>
        <v>2.1958717610891525E-4</v>
      </c>
      <c r="J370" s="311">
        <f t="shared" si="35"/>
        <v>1523.1886697848047</v>
      </c>
      <c r="K370" s="312">
        <f>VLOOKUP(B370,'[1]Step 4 Final Title II FY20'!A370:Q767,16,FALSE)</f>
        <v>88.684571200430128</v>
      </c>
      <c r="L370" s="314">
        <f t="shared" si="36"/>
        <v>11433.258140591102</v>
      </c>
    </row>
    <row r="371" spans="1:12" ht="15.6" customHeight="1" x14ac:dyDescent="0.3">
      <c r="A371" s="286" t="str">
        <f t="shared" si="31"/>
        <v>9705 Hammond Academy of Science &amp; Tech</v>
      </c>
      <c r="B371" s="342">
        <v>9705</v>
      </c>
      <c r="C371" s="343" t="s">
        <v>2518</v>
      </c>
      <c r="D371" s="309">
        <v>124</v>
      </c>
      <c r="E371" s="310">
        <f t="shared" si="32"/>
        <v>7.577609386458079E-4</v>
      </c>
      <c r="F371" s="311">
        <f t="shared" si="33"/>
        <v>21025.141751962845</v>
      </c>
      <c r="G371" s="312">
        <f>VLOOKUP(B371,'[1]Step 4 Final Title II FY20'!A371:Q768,15,FALSE)</f>
        <v>11113.027536348913</v>
      </c>
      <c r="H371" s="313">
        <v>557</v>
      </c>
      <c r="I371" s="310">
        <f t="shared" si="34"/>
        <v>4.8535736941534045E-4</v>
      </c>
      <c r="J371" s="311">
        <f t="shared" si="35"/>
        <v>3366.73051218308</v>
      </c>
      <c r="K371" s="312">
        <f>VLOOKUP(B371,'[1]Step 4 Final Title II FY20'!A371:Q768,16,FALSE)</f>
        <v>92.070699096224871</v>
      </c>
      <c r="L371" s="314">
        <f t="shared" si="36"/>
        <v>35596.970499591065</v>
      </c>
    </row>
    <row r="372" spans="1:12" ht="15.6" customHeight="1" x14ac:dyDescent="0.3">
      <c r="A372" s="286" t="str">
        <f t="shared" si="31"/>
        <v>9725 Canaan Community Academy</v>
      </c>
      <c r="B372" s="342">
        <v>9725</v>
      </c>
      <c r="C372" s="343" t="s">
        <v>2519</v>
      </c>
      <c r="D372" s="309">
        <v>49</v>
      </c>
      <c r="E372" s="310">
        <f t="shared" si="32"/>
        <v>2.9943779027132733E-4</v>
      </c>
      <c r="F372" s="311">
        <f t="shared" si="33"/>
        <v>8308.3221439208028</v>
      </c>
      <c r="G372" s="312">
        <f>VLOOKUP(B372,'[1]Step 4 Final Title II FY20'!A372:Q769,15,FALSE)</f>
        <v>3320.6813945444701</v>
      </c>
      <c r="H372" s="313">
        <v>142</v>
      </c>
      <c r="I372" s="310">
        <f t="shared" si="34"/>
        <v>1.2373563098200781E-4</v>
      </c>
      <c r="J372" s="311">
        <f t="shared" si="35"/>
        <v>858.30472662477098</v>
      </c>
      <c r="K372" s="312">
        <f>VLOOKUP(B372,'[1]Step 4 Final Title II FY20'!A372:Q769,16,FALSE)</f>
        <v>147.14807652782633</v>
      </c>
      <c r="L372" s="314">
        <f t="shared" si="36"/>
        <v>12634.45634161787</v>
      </c>
    </row>
    <row r="373" spans="1:12" ht="15.6" customHeight="1" x14ac:dyDescent="0.3">
      <c r="A373" s="286" t="str">
        <f t="shared" si="31"/>
        <v>9730 Neighbors' New Vistas High School</v>
      </c>
      <c r="B373" s="342">
        <v>9730</v>
      </c>
      <c r="C373" s="343" t="s">
        <v>2520</v>
      </c>
      <c r="D373" s="309">
        <v>11</v>
      </c>
      <c r="E373" s="310">
        <f t="shared" si="32"/>
        <v>6.7220728428257149E-5</v>
      </c>
      <c r="F373" s="311">
        <f t="shared" si="33"/>
        <v>1865.1335425128332</v>
      </c>
      <c r="G373" s="312">
        <f>VLOOKUP(B373,'[1]Step 4 Final Title II FY20'!A373:Q770,15,FALSE)</f>
        <v>-433.64097930633898</v>
      </c>
      <c r="H373" s="313">
        <v>83</v>
      </c>
      <c r="I373" s="310">
        <f t="shared" si="34"/>
        <v>7.2324347686666534E-5</v>
      </c>
      <c r="J373" s="311">
        <f t="shared" si="35"/>
        <v>501.68515711166185</v>
      </c>
      <c r="K373" s="312">
        <f>VLOOKUP(B373,'[1]Step 4 Final Title II FY20'!A373:Q770,16,FALSE)</f>
        <v>-38.59820022332292</v>
      </c>
      <c r="L373" s="314">
        <f t="shared" si="36"/>
        <v>1894.579520094833</v>
      </c>
    </row>
    <row r="374" spans="1:12" ht="15.6" customHeight="1" x14ac:dyDescent="0.3">
      <c r="A374" s="286" t="str">
        <f t="shared" si="31"/>
        <v>9735 Inspire Academy - A Sch of Inquiry</v>
      </c>
      <c r="B374" s="334">
        <v>9735</v>
      </c>
      <c r="C374" s="335" t="s">
        <v>2521</v>
      </c>
      <c r="D374" s="336">
        <v>86</v>
      </c>
      <c r="E374" s="337">
        <f t="shared" si="32"/>
        <v>5.2554387680273768E-4</v>
      </c>
      <c r="F374" s="338">
        <f t="shared" si="33"/>
        <v>14581.953150554877</v>
      </c>
      <c r="G374" s="339"/>
      <c r="H374" s="340">
        <v>157</v>
      </c>
      <c r="I374" s="337">
        <f t="shared" si="34"/>
        <v>1.3680629622658607E-4</v>
      </c>
      <c r="J374" s="338">
        <f t="shared" si="35"/>
        <v>948.9707188738663</v>
      </c>
      <c r="K374" s="339"/>
      <c r="L374" s="341">
        <f t="shared" si="36"/>
        <v>15530.923869428743</v>
      </c>
    </row>
    <row r="375" spans="1:12" ht="15.6" customHeight="1" x14ac:dyDescent="0.3">
      <c r="A375" s="286" t="str">
        <f t="shared" si="31"/>
        <v>9750 Excel Center - Anderson</v>
      </c>
      <c r="B375" s="342">
        <v>9750</v>
      </c>
      <c r="C375" s="343" t="s">
        <v>2522</v>
      </c>
      <c r="D375" s="309">
        <v>6</v>
      </c>
      <c r="E375" s="310">
        <f t="shared" si="32"/>
        <v>3.6665851869958446E-5</v>
      </c>
      <c r="F375" s="311">
        <f t="shared" si="33"/>
        <v>1017.3455686433635</v>
      </c>
      <c r="G375" s="312">
        <f>VLOOKUP(B375,'[1]Step 4 Final Title II FY20'!A375:Q772,15,FALSE)</f>
        <v>179.33559335229188</v>
      </c>
      <c r="H375" s="313">
        <v>22</v>
      </c>
      <c r="I375" s="310">
        <f t="shared" si="34"/>
        <v>1.9170309025381488E-5</v>
      </c>
      <c r="J375" s="311">
        <f t="shared" si="35"/>
        <v>132.97678863200673</v>
      </c>
      <c r="K375" s="312">
        <f>VLOOKUP(B375,'[1]Step 4 Final Title II FY20'!A375:Q772,16,FALSE)</f>
        <v>73.102200770236777</v>
      </c>
      <c r="L375" s="314">
        <f t="shared" si="36"/>
        <v>1402.7601513978989</v>
      </c>
    </row>
    <row r="376" spans="1:12" ht="15.6" customHeight="1" x14ac:dyDescent="0.3">
      <c r="A376" s="286" t="str">
        <f t="shared" si="31"/>
        <v>9760 Smith Academy for Excellence</v>
      </c>
      <c r="B376" s="342">
        <v>9760</v>
      </c>
      <c r="C376" s="343" t="s">
        <v>2523</v>
      </c>
      <c r="D376" s="309">
        <v>20</v>
      </c>
      <c r="E376" s="310">
        <f t="shared" si="32"/>
        <v>1.2221950623319481E-4</v>
      </c>
      <c r="F376" s="311">
        <f t="shared" si="33"/>
        <v>3391.151895477878</v>
      </c>
      <c r="G376" s="312">
        <f>VLOOKUP(B376,'[1]Step 4 Final Title II FY20'!A376:Q773,15,FALSE)</f>
        <v>-254.30538595404778</v>
      </c>
      <c r="H376" s="313">
        <v>79</v>
      </c>
      <c r="I376" s="310">
        <f t="shared" si="34"/>
        <v>6.8838836954778981E-5</v>
      </c>
      <c r="J376" s="311">
        <f t="shared" si="35"/>
        <v>477.50755917856969</v>
      </c>
      <c r="K376" s="312">
        <f>VLOOKUP(B376,'[1]Step 4 Final Title II FY20'!A376:Q773,16,FALSE)</f>
        <v>-25.602609464343402</v>
      </c>
      <c r="L376" s="314">
        <f t="shared" si="36"/>
        <v>3588.7514592380567</v>
      </c>
    </row>
    <row r="377" spans="1:12" ht="15.6" customHeight="1" x14ac:dyDescent="0.3">
      <c r="A377" s="286" t="str">
        <f t="shared" si="31"/>
        <v>9785 IN Math &amp; Science Academy</v>
      </c>
      <c r="B377" s="342">
        <v>9785</v>
      </c>
      <c r="C377" s="343" t="s">
        <v>2524</v>
      </c>
      <c r="D377" s="309">
        <v>208</v>
      </c>
      <c r="E377" s="310">
        <f t="shared" si="32"/>
        <v>1.2710828648252262E-3</v>
      </c>
      <c r="F377" s="311">
        <f t="shared" si="33"/>
        <v>35267.979712969936</v>
      </c>
      <c r="G377" s="312">
        <f>VLOOKUP(B377,'[1]Step 4 Final Title II FY20'!A377:Q774,15,FALSE)</f>
        <v>1214.6147181617343</v>
      </c>
      <c r="H377" s="313">
        <v>577</v>
      </c>
      <c r="I377" s="310">
        <f t="shared" si="34"/>
        <v>5.0278492307477812E-4</v>
      </c>
      <c r="J377" s="311">
        <f t="shared" si="35"/>
        <v>3487.6185018485403</v>
      </c>
      <c r="K377" s="312">
        <f>VLOOKUP(B377,'[1]Step 4 Final Title II FY20'!A377:Q774,16,FALSE)</f>
        <v>79.13061863061921</v>
      </c>
      <c r="L377" s="314">
        <f t="shared" si="36"/>
        <v>40049.343551610829</v>
      </c>
    </row>
    <row r="378" spans="1:12" ht="15.6" customHeight="1" x14ac:dyDescent="0.3">
      <c r="A378" s="286" t="str">
        <f t="shared" si="31"/>
        <v>9790 Anderson Preparatory Academy</v>
      </c>
      <c r="B378" s="342">
        <v>9790</v>
      </c>
      <c r="C378" s="343" t="s">
        <v>2525</v>
      </c>
      <c r="D378" s="309">
        <v>205</v>
      </c>
      <c r="E378" s="310">
        <f t="shared" si="32"/>
        <v>1.2527499388902468E-3</v>
      </c>
      <c r="F378" s="311">
        <f t="shared" si="33"/>
        <v>34759.30692864825</v>
      </c>
      <c r="G378" s="312">
        <f>VLOOKUP(B378,'[1]Step 4 Final Title II FY20'!A378:Q775,15,FALSE)</f>
        <v>-213.18429125794501</v>
      </c>
      <c r="H378" s="313">
        <v>826</v>
      </c>
      <c r="I378" s="310">
        <f t="shared" si="34"/>
        <v>7.1975796613477777E-4</v>
      </c>
      <c r="J378" s="311">
        <f t="shared" si="35"/>
        <v>4992.6739731835269</v>
      </c>
      <c r="K378" s="312">
        <f>VLOOKUP(B378,'[1]Step 4 Final Title II FY20'!A378:Q775,16,FALSE)</f>
        <v>140.59167980019356</v>
      </c>
      <c r="L378" s="314">
        <f t="shared" si="36"/>
        <v>39679.388290374023</v>
      </c>
    </row>
    <row r="379" spans="1:12" ht="15.6" customHeight="1" x14ac:dyDescent="0.3">
      <c r="A379" s="286" t="str">
        <f t="shared" si="31"/>
        <v>9835 The Bloomington Project School</v>
      </c>
      <c r="B379" s="342">
        <v>9835</v>
      </c>
      <c r="C379" s="343" t="s">
        <v>2526</v>
      </c>
      <c r="D379" s="309">
        <v>39</v>
      </c>
      <c r="E379" s="310">
        <f t="shared" si="32"/>
        <v>2.3832803715472989E-4</v>
      </c>
      <c r="F379" s="311">
        <f t="shared" si="33"/>
        <v>6612.7461961818626</v>
      </c>
      <c r="G379" s="312">
        <f>VLOOKUP(B379,'[1]Step 4 Final Title II FY20'!A380:Q777,15,FALSE)</f>
        <v>-574.09519590843138</v>
      </c>
      <c r="H379" s="313">
        <v>307</v>
      </c>
      <c r="I379" s="310">
        <f t="shared" si="34"/>
        <v>2.6751294867236898E-4</v>
      </c>
      <c r="J379" s="311">
        <f t="shared" si="35"/>
        <v>1855.6306413648217</v>
      </c>
      <c r="K379" s="312">
        <f>VLOOKUP(B379,'[1]Step 4 Final Title II FY20'!A380:Q777,16,FALSE)</f>
        <v>-3.5279946839975764</v>
      </c>
      <c r="L379" s="314">
        <f t="shared" si="36"/>
        <v>7890.7536469542556</v>
      </c>
    </row>
    <row r="380" spans="1:12" ht="15.6" customHeight="1" x14ac:dyDescent="0.3">
      <c r="A380" s="286" t="str">
        <f t="shared" si="31"/>
        <v>9855 Excel Center - Noblesville</v>
      </c>
      <c r="B380" s="342">
        <v>9855</v>
      </c>
      <c r="C380" s="343" t="s">
        <v>2527</v>
      </c>
      <c r="D380" s="309">
        <v>3</v>
      </c>
      <c r="E380" s="310">
        <f t="shared" si="32"/>
        <v>1.8332925934979223E-5</v>
      </c>
      <c r="F380" s="311">
        <f t="shared" si="33"/>
        <v>508.67278432168177</v>
      </c>
      <c r="G380" s="312">
        <f>VLOOKUP(B380,'[1]Step 4 Final Title II FY20'!A381:Q778,15,FALSE)</f>
        <v>327.97536295442586</v>
      </c>
      <c r="H380" s="313">
        <v>38</v>
      </c>
      <c r="I380" s="310">
        <f t="shared" si="34"/>
        <v>3.311235195293166E-5</v>
      </c>
      <c r="J380" s="311">
        <f t="shared" si="35"/>
        <v>229.68718036437528</v>
      </c>
      <c r="K380" s="312">
        <f>VLOOKUP(B380,'[1]Step 4 Final Title II FY20'!A381:Q778,16,FALSE)</f>
        <v>33.693550263657983</v>
      </c>
      <c r="L380" s="314">
        <f t="shared" si="36"/>
        <v>1100.0288779041409</v>
      </c>
    </row>
    <row r="381" spans="1:12" ht="15.6" customHeight="1" x14ac:dyDescent="0.3">
      <c r="A381" s="286" t="str">
        <f t="shared" si="31"/>
        <v>9870 Discovery Charter School</v>
      </c>
      <c r="B381" s="342">
        <v>9870</v>
      </c>
      <c r="C381" s="343" t="s">
        <v>2528</v>
      </c>
      <c r="D381" s="309">
        <v>34</v>
      </c>
      <c r="E381" s="310">
        <f t="shared" si="32"/>
        <v>2.0777316059643119E-4</v>
      </c>
      <c r="F381" s="311">
        <f t="shared" si="33"/>
        <v>5764.9582223123934</v>
      </c>
      <c r="G381" s="312">
        <f>VLOOKUP(B381,'[1]Step 4 Final Title II FY20'!A382:Q779,15,FALSE)</f>
        <v>-237.9342799539636</v>
      </c>
      <c r="H381" s="313">
        <v>498</v>
      </c>
      <c r="I381" s="310">
        <f t="shared" si="34"/>
        <v>4.3394608611999915E-4</v>
      </c>
      <c r="J381" s="311">
        <f t="shared" si="35"/>
        <v>3010.1109426699709</v>
      </c>
      <c r="K381" s="312">
        <f>VLOOKUP(B381,'[1]Step 4 Final Title II FY20'!A382:Q779,16,FALSE)</f>
        <v>12.565070445233687</v>
      </c>
      <c r="L381" s="314">
        <f t="shared" si="36"/>
        <v>8549.6999554736358</v>
      </c>
    </row>
    <row r="382" spans="1:12" ht="15.6" customHeight="1" x14ac:dyDescent="0.3">
      <c r="A382" s="286" t="str">
        <f t="shared" si="31"/>
        <v>9875 Rock Creek Community Academy</v>
      </c>
      <c r="B382" s="342">
        <v>9875</v>
      </c>
      <c r="C382" s="343" t="s">
        <v>2529</v>
      </c>
      <c r="D382" s="309">
        <v>41</v>
      </c>
      <c r="E382" s="310">
        <f t="shared" si="32"/>
        <v>2.5054998777804938E-4</v>
      </c>
      <c r="F382" s="311">
        <f t="shared" si="33"/>
        <v>6951.8613857296505</v>
      </c>
      <c r="G382" s="312">
        <f>VLOOKUP(B382,'[1]Step 4 Final Title II FY20'!A383:Q780,15,FALSE)</f>
        <v>752.13097365935027</v>
      </c>
      <c r="H382" s="313">
        <v>611</v>
      </c>
      <c r="I382" s="310">
        <f t="shared" si="34"/>
        <v>5.3241176429582226E-4</v>
      </c>
      <c r="J382" s="311">
        <f t="shared" si="35"/>
        <v>3693.1280842798237</v>
      </c>
      <c r="K382" s="312">
        <f>VLOOKUP(B382,'[1]Step 4 Final Title II FY20'!A383:Q780,16,FALSE)</f>
        <v>237.542364764166</v>
      </c>
      <c r="L382" s="314">
        <f t="shared" si="36"/>
        <v>11634.66280843299</v>
      </c>
    </row>
    <row r="383" spans="1:12" ht="15.6" customHeight="1" x14ac:dyDescent="0.3">
      <c r="A383" s="286" t="str">
        <f t="shared" si="31"/>
        <v>9880 Career Academy High School</v>
      </c>
      <c r="B383" s="342">
        <v>9880</v>
      </c>
      <c r="C383" s="343" t="s">
        <v>2530</v>
      </c>
      <c r="D383" s="309">
        <v>95</v>
      </c>
      <c r="E383" s="310">
        <f t="shared" si="32"/>
        <v>5.8054265460767544E-4</v>
      </c>
      <c r="F383" s="311">
        <f t="shared" si="33"/>
        <v>16107.971503519924</v>
      </c>
      <c r="G383" s="312">
        <f>VLOOKUP(B383,'[1]Step 4 Final Title II FY20'!A384:Q781,15,FALSE)</f>
        <v>-1129.7728975667651</v>
      </c>
      <c r="H383" s="313">
        <v>337</v>
      </c>
      <c r="I383" s="310">
        <f t="shared" si="34"/>
        <v>2.9365427916152557E-4</v>
      </c>
      <c r="J383" s="311">
        <f t="shared" si="35"/>
        <v>2036.9626258630126</v>
      </c>
      <c r="K383" s="312">
        <f>VLOOKUP(B383,'[1]Step 4 Final Title II FY20'!A384:Q781,16,FALSE)</f>
        <v>228.43003456677479</v>
      </c>
      <c r="L383" s="314">
        <f t="shared" si="36"/>
        <v>17243.591266382948</v>
      </c>
    </row>
    <row r="384" spans="1:12" ht="15.6" customHeight="1" x14ac:dyDescent="0.3">
      <c r="A384" s="286" t="str">
        <f t="shared" si="31"/>
        <v>9885 Gary Middle College</v>
      </c>
      <c r="B384" s="342">
        <v>9885</v>
      </c>
      <c r="C384" s="343" t="s">
        <v>2531</v>
      </c>
      <c r="D384" s="309">
        <f>14+11</f>
        <v>25</v>
      </c>
      <c r="E384" s="310">
        <f t="shared" si="32"/>
        <v>1.5277438279149351E-4</v>
      </c>
      <c r="F384" s="311">
        <f t="shared" si="33"/>
        <v>4238.9398693473477</v>
      </c>
      <c r="G384" s="312">
        <f>VLOOKUP(B384,'[1]Step 4 Final Title II FY20'!A385:Q782,15,FALSE)+3169.13</f>
        <v>3360.7439228523549</v>
      </c>
      <c r="H384" s="313">
        <f>37+30</f>
        <v>67</v>
      </c>
      <c r="I384" s="310">
        <f t="shared" si="34"/>
        <v>5.8382304759116351E-5</v>
      </c>
      <c r="J384" s="311">
        <f t="shared" si="35"/>
        <v>404.97476537929327</v>
      </c>
      <c r="K384" s="312">
        <f>VLOOKUP(B384,'[1]Step 4 Final Title II FY20'!A385:Q782,16,FALSE)+283.6</f>
        <v>237.74351337796776</v>
      </c>
      <c r="L384" s="314">
        <f t="shared" si="36"/>
        <v>8242.4020709569631</v>
      </c>
    </row>
    <row r="385" spans="1:12" ht="15.6" customHeight="1" x14ac:dyDescent="0.3">
      <c r="A385" s="286" t="str">
        <f t="shared" si="31"/>
        <v>9895 IN Math &amp; Science Academy - North</v>
      </c>
      <c r="B385" s="342">
        <v>9895</v>
      </c>
      <c r="C385" s="343" t="s">
        <v>2532</v>
      </c>
      <c r="D385" s="309">
        <v>269</v>
      </c>
      <c r="E385" s="310">
        <f t="shared" si="32"/>
        <v>1.6438523588364702E-3</v>
      </c>
      <c r="F385" s="311">
        <f t="shared" si="33"/>
        <v>45610.992994177461</v>
      </c>
      <c r="G385" s="312">
        <f>VLOOKUP(B385,'[1]Step 4 Final Title II FY20'!A386:Q783,15,FALSE)</f>
        <v>-1885.0567453816038</v>
      </c>
      <c r="H385" s="313">
        <v>704</v>
      </c>
      <c r="I385" s="310">
        <f t="shared" si="34"/>
        <v>6.134498888122076E-4</v>
      </c>
      <c r="J385" s="311">
        <f t="shared" si="35"/>
        <v>4255.2572362242154</v>
      </c>
      <c r="K385" s="312">
        <f>VLOOKUP(B385,'[1]Step 4 Final Title II FY20'!A386:Q783,16,FALSE)</f>
        <v>-58.905127699817058</v>
      </c>
      <c r="L385" s="314">
        <f t="shared" si="36"/>
        <v>47922.288357320256</v>
      </c>
    </row>
    <row r="386" spans="1:12" ht="15.6" customHeight="1" x14ac:dyDescent="0.3">
      <c r="A386" s="286" t="str">
        <f t="shared" si="31"/>
        <v>9905 Indiana Connections Academy</v>
      </c>
      <c r="B386" s="342">
        <v>9905</v>
      </c>
      <c r="C386" s="343" t="s">
        <v>2533</v>
      </c>
      <c r="D386" s="309">
        <v>750</v>
      </c>
      <c r="E386" s="310">
        <f t="shared" si="32"/>
        <v>4.5832314837448056E-3</v>
      </c>
      <c r="F386" s="311">
        <f t="shared" si="33"/>
        <v>127168.19608042044</v>
      </c>
      <c r="G386" s="312">
        <f>VLOOKUP(B386,'[1]Step 4 Final Title II FY20'!A387:Q784,15,FALSE)</f>
        <v>3259.1231634831929</v>
      </c>
      <c r="H386" s="313">
        <v>6365</v>
      </c>
      <c r="I386" s="310">
        <f t="shared" si="34"/>
        <v>5.5463189521160533E-3</v>
      </c>
      <c r="J386" s="311">
        <f t="shared" si="35"/>
        <v>38472.602711032858</v>
      </c>
      <c r="K386" s="312">
        <f>VLOOKUP(B386,'[1]Step 4 Final Title II FY20'!A387:Q784,16,FALSE)</f>
        <v>1805.431011945504</v>
      </c>
      <c r="L386" s="314">
        <f t="shared" si="36"/>
        <v>170705.352966882</v>
      </c>
    </row>
    <row r="387" spans="1:12" ht="15.6" customHeight="1" x14ac:dyDescent="0.3">
      <c r="A387" s="286" t="str">
        <f t="shared" si="31"/>
        <v>9910 Excel Center for Adult Learners</v>
      </c>
      <c r="B387" s="342">
        <v>9910</v>
      </c>
      <c r="C387" s="343" t="s">
        <v>2534</v>
      </c>
      <c r="D387" s="309">
        <v>20</v>
      </c>
      <c r="E387" s="310">
        <f t="shared" si="32"/>
        <v>1.2221950623319481E-4</v>
      </c>
      <c r="F387" s="311">
        <f t="shared" si="33"/>
        <v>3391.151895477878</v>
      </c>
      <c r="G387" s="312">
        <f>VLOOKUP(B387,'[1]Step 4 Final Title II FY20'!A388:Q785,15,FALSE)</f>
        <v>527.77483880682303</v>
      </c>
      <c r="H387" s="313">
        <v>47</v>
      </c>
      <c r="I387" s="310">
        <f t="shared" si="34"/>
        <v>4.0954751099678636E-5</v>
      </c>
      <c r="J387" s="311">
        <f t="shared" si="35"/>
        <v>284.08677571383259</v>
      </c>
      <c r="K387" s="312">
        <f>VLOOKUP(B387,'[1]Step 4 Final Title II FY20'!A388:Q785,16,FALSE)</f>
        <v>-78.684076309060742</v>
      </c>
      <c r="L387" s="314">
        <f t="shared" si="36"/>
        <v>4124.3294336894733</v>
      </c>
    </row>
    <row r="388" spans="1:12" ht="15.6" customHeight="1" x14ac:dyDescent="0.3">
      <c r="A388" s="286" t="str">
        <f t="shared" si="31"/>
        <v>9920 Damar Charter Academy</v>
      </c>
      <c r="B388" s="342">
        <v>9920</v>
      </c>
      <c r="C388" s="343" t="s">
        <v>2535</v>
      </c>
      <c r="D388" s="309">
        <v>24</v>
      </c>
      <c r="E388" s="310">
        <f t="shared" si="32"/>
        <v>1.4666340747983379E-4</v>
      </c>
      <c r="F388" s="311">
        <f t="shared" si="33"/>
        <v>4069.3822745734542</v>
      </c>
      <c r="G388" s="312">
        <f>VLOOKUP(B388,'[1]Step 4 Final Title II FY20'!A389:Q786,15,FALSE)</f>
        <v>-2003.9405935781106</v>
      </c>
      <c r="H388" s="313">
        <v>162</v>
      </c>
      <c r="I388" s="310">
        <f t="shared" si="34"/>
        <v>1.411631846414455E-4</v>
      </c>
      <c r="J388" s="311">
        <f t="shared" si="35"/>
        <v>979.19271629023149</v>
      </c>
      <c r="K388" s="312">
        <f>VLOOKUP(B388,'[1]Step 4 Final Title II FY20'!A389:Q786,16,FALSE)</f>
        <v>-77.584972500261756</v>
      </c>
      <c r="L388" s="314">
        <f t="shared" si="36"/>
        <v>2967.0494247853135</v>
      </c>
    </row>
    <row r="389" spans="1:12" ht="15.6" customHeight="1" x14ac:dyDescent="0.3">
      <c r="A389" s="286" t="str">
        <f t="shared" si="31"/>
        <v>9925 Phalen Leadership Academy - IN Inc</v>
      </c>
      <c r="B389" s="334">
        <v>9925</v>
      </c>
      <c r="C389" s="335" t="s">
        <v>2536</v>
      </c>
      <c r="D389" s="336">
        <v>115</v>
      </c>
      <c r="E389" s="337">
        <f t="shared" si="32"/>
        <v>7.0276216084087025E-4</v>
      </c>
      <c r="F389" s="338">
        <f t="shared" si="33"/>
        <v>19499.123398997803</v>
      </c>
      <c r="G389" s="339">
        <f>VLOOKUP(B389,'[1]Step 4 Final Title II FY20'!A390:Q787,15,FALSE)</f>
        <v>-1770.6523330769051</v>
      </c>
      <c r="H389" s="340">
        <v>297</v>
      </c>
      <c r="I389" s="337">
        <f t="shared" si="34"/>
        <v>2.5879917184265012E-4</v>
      </c>
      <c r="J389" s="338">
        <f t="shared" si="35"/>
        <v>1795.1866465320913</v>
      </c>
      <c r="K389" s="339">
        <f>VLOOKUP(B389,'[1]Step 4 Final Title II FY20'!A390:Q787,16,FALSE)</f>
        <v>-459.70837826382058</v>
      </c>
      <c r="L389" s="341">
        <f t="shared" si="36"/>
        <v>19063.949334189168</v>
      </c>
    </row>
    <row r="390" spans="1:12" ht="15.6" customHeight="1" x14ac:dyDescent="0.3">
      <c r="A390" s="286" t="str">
        <f t="shared" si="31"/>
        <v>9935 Vision Academy</v>
      </c>
      <c r="B390" s="342">
        <v>9935</v>
      </c>
      <c r="C390" s="343" t="s">
        <v>2537</v>
      </c>
      <c r="D390" s="309">
        <v>168</v>
      </c>
      <c r="E390" s="310">
        <f t="shared" si="32"/>
        <v>1.0266438523588365E-3</v>
      </c>
      <c r="F390" s="311">
        <f t="shared" si="33"/>
        <v>28485.675922014179</v>
      </c>
      <c r="G390" s="312">
        <f>VLOOKUP(B390,'[1]Step 4 Final Title II FY20'!A391:Q788,15,FALSE)</f>
        <v>2839.4202425351541</v>
      </c>
      <c r="H390" s="313">
        <v>426</v>
      </c>
      <c r="I390" s="310">
        <f t="shared" si="34"/>
        <v>3.7120689294602339E-4</v>
      </c>
      <c r="J390" s="311">
        <f t="shared" si="35"/>
        <v>2574.9141798743126</v>
      </c>
      <c r="K390" s="312">
        <f>VLOOKUP(B390,'[1]Step 4 Final Title II FY20'!A391:Q788,16,FALSE)</f>
        <v>84.268411822453345</v>
      </c>
      <c r="L390" s="314">
        <f t="shared" si="36"/>
        <v>33984.278756246102</v>
      </c>
    </row>
    <row r="391" spans="1:12" ht="15.6" customHeight="1" x14ac:dyDescent="0.3">
      <c r="A391" s="286" t="str">
        <f t="shared" ref="A391:A401" si="37">B391&amp;" "&amp;C391</f>
        <v>9950 Dugger Union Community School Corp</v>
      </c>
      <c r="B391" s="342">
        <v>9950</v>
      </c>
      <c r="C391" s="343" t="s">
        <v>2538</v>
      </c>
      <c r="D391" s="309">
        <v>107</v>
      </c>
      <c r="E391" s="310">
        <f t="shared" ref="E391:E401" si="38">D391/$D$5</f>
        <v>6.538743583475923E-4</v>
      </c>
      <c r="F391" s="311">
        <f t="shared" ref="F391:F401" si="39">E391*$F$2</f>
        <v>18142.662640806651</v>
      </c>
      <c r="G391" s="312">
        <f>VLOOKUP(B391,'[1]Step 4 Final Title II FY20'!A392:Q789,15,FALSE)</f>
        <v>-1111.3554033166729</v>
      </c>
      <c r="H391" s="313">
        <v>515</v>
      </c>
      <c r="I391" s="310">
        <f t="shared" ref="I391:I401" si="40">H391/$H$5</f>
        <v>4.4875950673052122E-4</v>
      </c>
      <c r="J391" s="311">
        <f t="shared" ref="J391:J401" si="41">I391*$J$2</f>
        <v>3112.8657338856124</v>
      </c>
      <c r="K391" s="312">
        <f>VLOOKUP(B391,'[1]Step 4 Final Title II FY20'!A392:Q789,16,FALSE)</f>
        <v>627.16830221727832</v>
      </c>
      <c r="L391" s="314">
        <f t="shared" ref="L391:L401" si="42">F391+G391+J391+K391</f>
        <v>20771.341273592872</v>
      </c>
    </row>
    <row r="392" spans="1:12" ht="15.6" customHeight="1" x14ac:dyDescent="0.3">
      <c r="A392" s="286" t="str">
        <f t="shared" si="37"/>
        <v>9954 Phalen Leadership Academy at Louis</v>
      </c>
      <c r="B392" s="344">
        <v>9954</v>
      </c>
      <c r="C392" s="345" t="s">
        <v>2539</v>
      </c>
      <c r="D392" s="346">
        <v>90</v>
      </c>
      <c r="E392" s="347">
        <f t="shared" si="38"/>
        <v>5.4998777804937671E-4</v>
      </c>
      <c r="F392" s="348">
        <f t="shared" si="39"/>
        <v>15260.183529650454</v>
      </c>
      <c r="G392" s="349"/>
      <c r="H392" s="350">
        <v>213</v>
      </c>
      <c r="I392" s="347">
        <f t="shared" si="40"/>
        <v>1.856034464730117E-4</v>
      </c>
      <c r="J392" s="348">
        <f t="shared" si="41"/>
        <v>1287.4570899371563</v>
      </c>
      <c r="K392" s="349"/>
      <c r="L392" s="351">
        <f t="shared" si="42"/>
        <v>16547.640619587612</v>
      </c>
    </row>
    <row r="393" spans="1:12" ht="15.6" customHeight="1" x14ac:dyDescent="0.3">
      <c r="A393" s="286" t="str">
        <f t="shared" si="37"/>
        <v>9955 Mays Community Academy</v>
      </c>
      <c r="B393" s="352">
        <v>9955</v>
      </c>
      <c r="C393" s="353" t="s">
        <v>2540</v>
      </c>
      <c r="D393" s="354">
        <v>29</v>
      </c>
      <c r="E393" s="355">
        <f t="shared" si="38"/>
        <v>1.7721828403813249E-4</v>
      </c>
      <c r="F393" s="356">
        <f t="shared" si="39"/>
        <v>4917.1702484429234</v>
      </c>
      <c r="G393" s="357">
        <f>VLOOKUP(B393,'[1]Step 4 Final Title II FY20'!A394:Q791,15,FALSE)</f>
        <v>-493.06462695669416</v>
      </c>
      <c r="H393" s="358">
        <v>193</v>
      </c>
      <c r="I393" s="355">
        <f t="shared" si="40"/>
        <v>1.6817589281357398E-4</v>
      </c>
      <c r="J393" s="356">
        <f t="shared" si="41"/>
        <v>1166.5691002716956</v>
      </c>
      <c r="K393" s="357">
        <f>VLOOKUP(B393,'[1]Step 4 Final Title II FY20'!A394:Q791,16,FALSE)</f>
        <v>58.507188395173443</v>
      </c>
      <c r="L393" s="359">
        <f t="shared" si="42"/>
        <v>5649.1819101530982</v>
      </c>
    </row>
    <row r="394" spans="1:12" ht="15.6" customHeight="1" x14ac:dyDescent="0.3">
      <c r="A394" s="286" t="str">
        <f t="shared" si="37"/>
        <v>9960 Success Academy Primary School</v>
      </c>
      <c r="B394" s="342">
        <v>9960</v>
      </c>
      <c r="C394" s="343" t="s">
        <v>2541</v>
      </c>
      <c r="D394" s="309">
        <v>187</v>
      </c>
      <c r="E394" s="310">
        <f t="shared" si="38"/>
        <v>1.1427523832803716E-3</v>
      </c>
      <c r="F394" s="311">
        <f t="shared" si="39"/>
        <v>31707.270222718162</v>
      </c>
      <c r="G394" s="312">
        <f>VLOOKUP(B394,'[1]Step 4 Final Title II FY20'!A395:Q792,15,FALSE)</f>
        <v>-5002.5924602222949</v>
      </c>
      <c r="H394" s="313">
        <v>611</v>
      </c>
      <c r="I394" s="310">
        <f t="shared" si="40"/>
        <v>5.3241176429582226E-4</v>
      </c>
      <c r="J394" s="311">
        <f t="shared" si="41"/>
        <v>3693.1280842798237</v>
      </c>
      <c r="K394" s="312">
        <f>VLOOKUP(B394,'[1]Step 4 Final Title II FY20'!A395:Q792,16,FALSE)</f>
        <v>112.75755654222849</v>
      </c>
      <c r="L394" s="314">
        <f t="shared" si="42"/>
        <v>30510.563403317916</v>
      </c>
    </row>
    <row r="395" spans="1:12" ht="15.6" customHeight="1" x14ac:dyDescent="0.3">
      <c r="A395" s="286" t="str">
        <f t="shared" si="37"/>
        <v>9965 Career Academy Middle School</v>
      </c>
      <c r="B395" s="342">
        <v>9965</v>
      </c>
      <c r="C395" s="343" t="s">
        <v>2542</v>
      </c>
      <c r="D395" s="360">
        <v>129</v>
      </c>
      <c r="E395" s="310">
        <f t="shared" si="38"/>
        <v>7.8831581520410663E-4</v>
      </c>
      <c r="F395" s="311">
        <f t="shared" si="39"/>
        <v>21872.929725832317</v>
      </c>
      <c r="G395" s="312">
        <f>VLOOKUP(B395,'[1]Step 4 Final Title II FY20'!A396:Q793,15,FALSE)</f>
        <v>-740.40588711202145</v>
      </c>
      <c r="H395" s="343">
        <v>367</v>
      </c>
      <c r="I395" s="310">
        <f t="shared" si="40"/>
        <v>3.1979560965068209E-4</v>
      </c>
      <c r="J395" s="311">
        <f t="shared" si="41"/>
        <v>2218.2946103612035</v>
      </c>
      <c r="K395" s="312">
        <f>VLOOKUP(B395,'[1]Step 4 Final Title II FY20'!A396:Q793,16,FALSE)</f>
        <v>169.41142630564264</v>
      </c>
      <c r="L395" s="314">
        <f t="shared" si="42"/>
        <v>23520.229875387144</v>
      </c>
    </row>
    <row r="396" spans="1:12" ht="15.6" customHeight="1" x14ac:dyDescent="0.3">
      <c r="A396" s="286" t="str">
        <f t="shared" si="37"/>
        <v>9970 ACE Preparatory Academy</v>
      </c>
      <c r="B396" s="334">
        <v>9970</v>
      </c>
      <c r="C396" s="335" t="s">
        <v>2543</v>
      </c>
      <c r="D396" s="361">
        <v>30</v>
      </c>
      <c r="E396" s="337">
        <f t="shared" si="38"/>
        <v>1.8332925934979222E-4</v>
      </c>
      <c r="F396" s="338">
        <f t="shared" si="39"/>
        <v>5086.7278432168168</v>
      </c>
      <c r="G396" s="339"/>
      <c r="H396" s="335">
        <v>161</v>
      </c>
      <c r="I396" s="337">
        <f t="shared" si="40"/>
        <v>1.4029180695847364E-4</v>
      </c>
      <c r="J396" s="338">
        <f t="shared" si="41"/>
        <v>973.14831680695863</v>
      </c>
      <c r="K396" s="339"/>
      <c r="L396" s="341">
        <f t="shared" si="42"/>
        <v>6059.8761600237758</v>
      </c>
    </row>
    <row r="397" spans="1:12" ht="15.6" customHeight="1" x14ac:dyDescent="0.3">
      <c r="A397" s="286" t="str">
        <f t="shared" si="37"/>
        <v>9975 Global Preparatory Academy</v>
      </c>
      <c r="B397" s="352">
        <v>9975</v>
      </c>
      <c r="C397" s="353" t="s">
        <v>2544</v>
      </c>
      <c r="D397" s="362">
        <v>203</v>
      </c>
      <c r="E397" s="355">
        <f t="shared" si="38"/>
        <v>1.2405279882669274E-3</v>
      </c>
      <c r="F397" s="356">
        <f t="shared" si="39"/>
        <v>34420.191739100468</v>
      </c>
      <c r="G397" s="357"/>
      <c r="H397" s="353">
        <v>597</v>
      </c>
      <c r="I397" s="355">
        <f t="shared" si="40"/>
        <v>5.2021247673421584E-4</v>
      </c>
      <c r="J397" s="356">
        <f t="shared" si="41"/>
        <v>3608.506491514001</v>
      </c>
      <c r="K397" s="357"/>
      <c r="L397" s="359">
        <f t="shared" si="42"/>
        <v>38028.698230614471</v>
      </c>
    </row>
    <row r="398" spans="1:12" ht="15.6" customHeight="1" x14ac:dyDescent="0.3">
      <c r="A398" s="286" t="str">
        <f t="shared" si="37"/>
        <v>9980 Steel City Academy</v>
      </c>
      <c r="B398" s="334">
        <v>9980</v>
      </c>
      <c r="C398" s="335" t="s">
        <v>2545</v>
      </c>
      <c r="D398" s="361">
        <v>166</v>
      </c>
      <c r="E398" s="337">
        <f t="shared" si="38"/>
        <v>1.0144219017355169E-3</v>
      </c>
      <c r="F398" s="338">
        <f t="shared" si="39"/>
        <v>28146.560732466387</v>
      </c>
      <c r="G398" s="339"/>
      <c r="H398" s="335">
        <v>396</v>
      </c>
      <c r="I398" s="337">
        <f t="shared" si="40"/>
        <v>3.4506556245686681E-4</v>
      </c>
      <c r="J398" s="338">
        <f t="shared" si="41"/>
        <v>2393.5821953761215</v>
      </c>
      <c r="K398" s="339"/>
      <c r="L398" s="341">
        <f t="shared" si="42"/>
        <v>30540.142927842509</v>
      </c>
    </row>
    <row r="399" spans="1:12" ht="15.6" customHeight="1" x14ac:dyDescent="0.3">
      <c r="A399" s="286" t="str">
        <f t="shared" si="37"/>
        <v>9985 Seven Oaks Classical School</v>
      </c>
      <c r="B399" s="334">
        <v>9985</v>
      </c>
      <c r="C399" s="335" t="s">
        <v>2546</v>
      </c>
      <c r="D399" s="361">
        <v>32</v>
      </c>
      <c r="E399" s="337">
        <f t="shared" si="38"/>
        <v>1.955512099731117E-4</v>
      </c>
      <c r="F399" s="338">
        <f t="shared" si="39"/>
        <v>5425.8430327646056</v>
      </c>
      <c r="G399" s="339"/>
      <c r="H399" s="335">
        <v>387</v>
      </c>
      <c r="I399" s="337">
        <f t="shared" si="40"/>
        <v>3.3722316331011982E-4</v>
      </c>
      <c r="J399" s="338">
        <f t="shared" si="41"/>
        <v>2339.1826000266642</v>
      </c>
      <c r="K399" s="339"/>
      <c r="L399" s="341">
        <f t="shared" si="42"/>
        <v>7765.0256327912703</v>
      </c>
    </row>
    <row r="400" spans="1:12" ht="15.6" customHeight="1" x14ac:dyDescent="0.3">
      <c r="A400" s="286" t="str">
        <f t="shared" si="37"/>
        <v>9990 Higher Institute of Arts &amp; Tech</v>
      </c>
      <c r="B400" s="342">
        <v>9990</v>
      </c>
      <c r="C400" s="343" t="s">
        <v>2547</v>
      </c>
      <c r="D400" s="360">
        <v>74</v>
      </c>
      <c r="E400" s="310">
        <f t="shared" si="38"/>
        <v>4.5221217306282081E-4</v>
      </c>
      <c r="F400" s="311">
        <f t="shared" si="39"/>
        <v>12547.26201326815</v>
      </c>
      <c r="G400" s="312">
        <f>VLOOKUP(B400,'[1]Step 4 Final Title II FY20'!A401:Q798,15,FALSE)</f>
        <v>-3255.5500523888095</v>
      </c>
      <c r="H400" s="343">
        <v>207</v>
      </c>
      <c r="I400" s="310">
        <f t="shared" si="40"/>
        <v>1.8037518037518038E-4</v>
      </c>
      <c r="J400" s="311">
        <f t="shared" si="41"/>
        <v>1251.190693037518</v>
      </c>
      <c r="K400" s="312">
        <f>VLOOKUP(B400,'[1]Step 4 Final Title II FY20'!A401:Q798,16,FALSE)</f>
        <v>238.09387075178893</v>
      </c>
      <c r="L400" s="314">
        <f t="shared" si="42"/>
        <v>10780.996524668648</v>
      </c>
    </row>
    <row r="401" spans="1:12" ht="15.6" customHeight="1" x14ac:dyDescent="0.3">
      <c r="A401" s="286" t="str">
        <f t="shared" si="37"/>
        <v>9995 Excel Center - Shelbyville</v>
      </c>
      <c r="B401" s="363">
        <v>9995</v>
      </c>
      <c r="C401" s="343" t="s">
        <v>2548</v>
      </c>
      <c r="D401" s="360">
        <v>7</v>
      </c>
      <c r="E401" s="310">
        <f t="shared" si="38"/>
        <v>4.277682718161819E-5</v>
      </c>
      <c r="F401" s="311">
        <f t="shared" si="39"/>
        <v>1186.9031634172575</v>
      </c>
      <c r="G401" s="312">
        <f>VLOOKUP(B401,'[1]Step 4 Final Title II FY20'!A402:Q799,15,FALSE)</f>
        <v>167.05726385222869</v>
      </c>
      <c r="H401" s="364">
        <v>53</v>
      </c>
      <c r="I401" s="310">
        <f t="shared" si="40"/>
        <v>4.6183017197509951E-5</v>
      </c>
      <c r="J401" s="311">
        <f t="shared" si="41"/>
        <v>320.3531726134708</v>
      </c>
      <c r="K401" s="312">
        <f>VLOOKUP(B401,'[1]Step 4 Final Title II FY20'!A402:Q799,16,FALSE)</f>
        <v>40.196896672485195</v>
      </c>
      <c r="L401" s="314">
        <f t="shared" si="42"/>
        <v>1714.5104965554424</v>
      </c>
    </row>
    <row r="402" spans="1:12" ht="15.6" customHeight="1" x14ac:dyDescent="0.25">
      <c r="D402" s="367"/>
    </row>
    <row r="403" spans="1:12" ht="15.6" customHeight="1" x14ac:dyDescent="0.25"/>
    <row r="404" spans="1:12" ht="15.6" customHeight="1" x14ac:dyDescent="0.25"/>
    <row r="405" spans="1:12" ht="15.6" customHeight="1" x14ac:dyDescent="0.25"/>
    <row r="406" spans="1:12" ht="15.6" customHeight="1" x14ac:dyDescent="0.25">
      <c r="C406" s="370" t="s">
        <v>2549</v>
      </c>
      <c r="D406" s="371"/>
      <c r="E406" s="372"/>
      <c r="F406" s="373"/>
      <c r="G406" s="373"/>
      <c r="H406" s="373"/>
      <c r="I406" s="373"/>
      <c r="J406" s="373"/>
      <c r="K406" s="373"/>
      <c r="L406" s="373"/>
    </row>
    <row r="407" spans="1:12" ht="15.6" customHeight="1" x14ac:dyDescent="0.25">
      <c r="C407" s="374" t="s">
        <v>2550</v>
      </c>
      <c r="D407" s="375"/>
      <c r="E407" s="376"/>
      <c r="F407" s="377"/>
      <c r="G407" s="377"/>
      <c r="H407" s="377"/>
      <c r="I407" s="377"/>
      <c r="J407" s="377"/>
      <c r="K407" s="377"/>
      <c r="L407" s="377"/>
    </row>
    <row r="408" spans="1:12" ht="15.6" customHeight="1" x14ac:dyDescent="0.25">
      <c r="C408" s="378" t="s">
        <v>2551</v>
      </c>
      <c r="D408" s="379"/>
      <c r="E408" s="380"/>
      <c r="F408" s="381"/>
      <c r="G408" s="381"/>
      <c r="H408" s="381"/>
      <c r="I408" s="381"/>
      <c r="J408" s="381"/>
      <c r="K408" s="381"/>
      <c r="L408" s="381"/>
    </row>
    <row r="409" spans="1:12" ht="15.6" customHeight="1" x14ac:dyDescent="0.25"/>
    <row r="410" spans="1:12" ht="15.6" customHeight="1" x14ac:dyDescent="0.25"/>
    <row r="411" spans="1:12" ht="15.6" customHeight="1" x14ac:dyDescent="0.25"/>
    <row r="412" spans="1:12" ht="15.6" customHeight="1" x14ac:dyDescent="0.25"/>
    <row r="413" spans="1:12" ht="15.6" customHeight="1" x14ac:dyDescent="0.25"/>
    <row r="414" spans="1:12" ht="15.6" customHeight="1" x14ac:dyDescent="0.25"/>
    <row r="415" spans="1:12" s="368" customFormat="1" ht="15.6" customHeight="1" x14ac:dyDescent="0.3">
      <c r="B415" s="365"/>
      <c r="C415" s="366"/>
      <c r="D415" s="286"/>
      <c r="F415" s="366"/>
      <c r="G415" s="366"/>
      <c r="H415" s="366"/>
      <c r="I415" s="366"/>
      <c r="J415" s="366"/>
      <c r="K415" s="366"/>
      <c r="L415" s="366"/>
    </row>
    <row r="416" spans="1:12" s="368" customFormat="1" ht="15.6" customHeight="1" x14ac:dyDescent="0.25">
      <c r="B416" s="365"/>
      <c r="C416" s="366"/>
      <c r="D416" s="369"/>
      <c r="F416" s="366"/>
      <c r="G416" s="366"/>
      <c r="H416" s="366"/>
      <c r="I416" s="366"/>
      <c r="J416" s="366"/>
      <c r="K416" s="366"/>
      <c r="L416" s="366"/>
    </row>
    <row r="417" spans="2:12" s="368" customFormat="1" ht="15.6" customHeight="1" x14ac:dyDescent="0.25">
      <c r="B417" s="365"/>
      <c r="C417" s="366"/>
      <c r="D417" s="369"/>
      <c r="F417" s="366"/>
      <c r="G417" s="366"/>
      <c r="H417" s="366"/>
      <c r="I417" s="366"/>
      <c r="J417" s="366"/>
      <c r="K417" s="366"/>
      <c r="L417" s="366"/>
    </row>
    <row r="418" spans="2:12" s="368" customFormat="1" ht="15.6" customHeight="1" x14ac:dyDescent="0.25">
      <c r="B418" s="365"/>
      <c r="C418" s="366"/>
      <c r="D418" s="369"/>
      <c r="F418" s="366"/>
      <c r="G418" s="366"/>
      <c r="H418" s="366"/>
      <c r="I418" s="366"/>
      <c r="J418" s="366"/>
      <c r="K418" s="366"/>
      <c r="L418" s="366"/>
    </row>
    <row r="419" spans="2:12" s="368" customFormat="1" ht="15.6" customHeight="1" x14ac:dyDescent="0.25">
      <c r="B419" s="365"/>
      <c r="C419" s="366"/>
      <c r="D419" s="369"/>
      <c r="F419" s="366"/>
      <c r="G419" s="366"/>
      <c r="H419" s="366"/>
      <c r="I419" s="366"/>
      <c r="J419" s="366"/>
      <c r="K419" s="366"/>
      <c r="L419" s="366"/>
    </row>
    <row r="420" spans="2:12" s="368" customFormat="1" ht="15.6" customHeight="1" x14ac:dyDescent="0.25">
      <c r="B420" s="365"/>
      <c r="C420" s="366"/>
      <c r="D420" s="369"/>
      <c r="F420" s="366"/>
      <c r="G420" s="366"/>
      <c r="H420" s="366"/>
      <c r="I420" s="366"/>
      <c r="J420" s="366"/>
      <c r="K420" s="366"/>
      <c r="L420" s="366"/>
    </row>
    <row r="421" spans="2:12" s="368" customFormat="1" ht="15.15" customHeight="1" x14ac:dyDescent="0.25">
      <c r="B421" s="365"/>
      <c r="C421" s="366"/>
      <c r="D421" s="369"/>
      <c r="F421" s="366"/>
      <c r="G421" s="366"/>
      <c r="H421" s="366"/>
      <c r="I421" s="366"/>
      <c r="J421" s="366"/>
      <c r="K421" s="366"/>
      <c r="L421" s="366"/>
    </row>
    <row r="422" spans="2:12" s="368" customFormat="1" ht="15.15" customHeight="1" x14ac:dyDescent="0.25">
      <c r="B422" s="365"/>
      <c r="C422" s="366"/>
      <c r="D422" s="369"/>
      <c r="F422" s="366"/>
      <c r="G422" s="366"/>
      <c r="H422" s="366"/>
      <c r="I422" s="366"/>
      <c r="J422" s="366"/>
      <c r="K422" s="366"/>
      <c r="L422" s="366"/>
    </row>
    <row r="423" spans="2:12" s="368" customFormat="1" ht="15.15" customHeight="1" x14ac:dyDescent="0.25">
      <c r="B423" s="365"/>
      <c r="C423" s="366"/>
      <c r="D423" s="369"/>
      <c r="F423" s="366"/>
      <c r="G423" s="366"/>
      <c r="H423" s="366"/>
      <c r="I423" s="366"/>
      <c r="J423" s="366"/>
      <c r="K423" s="366"/>
      <c r="L423" s="366"/>
    </row>
    <row r="424" spans="2:12" s="368" customFormat="1" ht="15.15" customHeight="1" x14ac:dyDescent="0.25">
      <c r="B424" s="365"/>
      <c r="C424" s="366"/>
      <c r="D424" s="369"/>
      <c r="F424" s="366"/>
      <c r="G424" s="366"/>
      <c r="H424" s="366"/>
      <c r="I424" s="366"/>
      <c r="J424" s="366"/>
      <c r="K424" s="366"/>
      <c r="L424" s="366"/>
    </row>
    <row r="425" spans="2:12" s="368" customFormat="1" ht="15.15" customHeight="1" x14ac:dyDescent="0.25">
      <c r="B425" s="365"/>
      <c r="C425" s="366"/>
      <c r="D425" s="369"/>
      <c r="F425" s="366"/>
      <c r="G425" s="366"/>
      <c r="H425" s="366"/>
      <c r="I425" s="366"/>
      <c r="J425" s="366"/>
      <c r="K425" s="366"/>
      <c r="L425" s="366"/>
    </row>
    <row r="426" spans="2:12" s="368" customFormat="1" ht="15.15" customHeight="1" x14ac:dyDescent="0.25">
      <c r="B426" s="365"/>
      <c r="C426" s="366"/>
      <c r="D426" s="369"/>
      <c r="F426" s="366"/>
      <c r="G426" s="366"/>
      <c r="H426" s="366"/>
      <c r="I426" s="366"/>
      <c r="J426" s="366"/>
      <c r="K426" s="366"/>
      <c r="L426" s="366"/>
    </row>
    <row r="427" spans="2:12" s="368" customFormat="1" ht="15.15" customHeight="1" x14ac:dyDescent="0.25">
      <c r="B427" s="365"/>
      <c r="C427" s="366"/>
      <c r="D427" s="369"/>
      <c r="F427" s="366"/>
      <c r="G427" s="366"/>
      <c r="H427" s="366"/>
      <c r="I427" s="366"/>
      <c r="J427" s="366"/>
      <c r="K427" s="366"/>
      <c r="L427" s="366"/>
    </row>
    <row r="428" spans="2:12" s="368" customFormat="1" ht="15.15" customHeight="1" x14ac:dyDescent="0.25">
      <c r="B428" s="365"/>
      <c r="C428" s="366"/>
      <c r="D428" s="369"/>
      <c r="F428" s="366"/>
      <c r="G428" s="366"/>
      <c r="H428" s="366"/>
      <c r="I428" s="366"/>
      <c r="J428" s="366"/>
      <c r="K428" s="366"/>
      <c r="L428" s="366"/>
    </row>
    <row r="429" spans="2:12" s="368" customFormat="1" ht="15.15" customHeight="1" x14ac:dyDescent="0.25">
      <c r="B429" s="365"/>
      <c r="C429" s="366"/>
      <c r="D429" s="369"/>
      <c r="F429" s="366"/>
      <c r="G429" s="366"/>
      <c r="H429" s="366"/>
      <c r="I429" s="366"/>
      <c r="J429" s="366"/>
      <c r="K429" s="366"/>
      <c r="L429" s="366"/>
    </row>
    <row r="430" spans="2:12" s="368" customFormat="1" ht="15.15" customHeight="1" x14ac:dyDescent="0.25">
      <c r="B430" s="365"/>
      <c r="C430" s="366"/>
      <c r="D430" s="369"/>
      <c r="F430" s="366"/>
      <c r="G430" s="366"/>
      <c r="H430" s="366"/>
      <c r="I430" s="366"/>
      <c r="J430" s="366"/>
      <c r="K430" s="366"/>
      <c r="L430" s="366"/>
    </row>
    <row r="431" spans="2:12" s="365" customFormat="1" ht="15.15" customHeight="1" x14ac:dyDescent="0.25">
      <c r="C431" s="366"/>
      <c r="D431" s="369"/>
      <c r="E431" s="368"/>
      <c r="F431" s="366"/>
      <c r="G431" s="366"/>
      <c r="H431" s="366"/>
      <c r="I431" s="366"/>
      <c r="J431" s="366"/>
      <c r="K431" s="366"/>
      <c r="L431" s="366"/>
    </row>
    <row r="432" spans="2:12" s="365" customFormat="1" ht="15.15" customHeight="1" x14ac:dyDescent="0.25">
      <c r="C432" s="366"/>
      <c r="D432" s="369"/>
      <c r="E432" s="368"/>
      <c r="F432" s="366"/>
      <c r="G432" s="366"/>
      <c r="H432" s="366"/>
      <c r="I432" s="366"/>
      <c r="J432" s="366"/>
      <c r="K432" s="366"/>
      <c r="L432" s="366"/>
    </row>
    <row r="433" spans="3:12" s="365" customFormat="1" ht="15.15" customHeight="1" x14ac:dyDescent="0.25">
      <c r="C433" s="366"/>
      <c r="D433" s="369"/>
      <c r="E433" s="368"/>
      <c r="F433" s="366"/>
      <c r="G433" s="366"/>
      <c r="H433" s="366"/>
      <c r="I433" s="366"/>
      <c r="J433" s="366"/>
      <c r="K433" s="366"/>
      <c r="L433" s="366"/>
    </row>
    <row r="434" spans="3:12" s="365" customFormat="1" ht="15.15" customHeight="1" x14ac:dyDescent="0.25">
      <c r="C434" s="366"/>
      <c r="D434" s="369"/>
      <c r="E434" s="368"/>
      <c r="F434" s="366"/>
      <c r="G434" s="366"/>
      <c r="H434" s="366"/>
      <c r="I434" s="366"/>
      <c r="J434" s="366"/>
      <c r="K434" s="366"/>
      <c r="L434" s="366"/>
    </row>
    <row r="435" spans="3:12" s="365" customFormat="1" ht="15.15" customHeight="1" x14ac:dyDescent="0.25">
      <c r="C435" s="366"/>
      <c r="D435" s="369"/>
      <c r="E435" s="368"/>
      <c r="F435" s="366"/>
      <c r="G435" s="366"/>
      <c r="H435" s="366"/>
      <c r="I435" s="366"/>
      <c r="J435" s="366"/>
      <c r="K435" s="366"/>
      <c r="L435" s="366"/>
    </row>
    <row r="436" spans="3:12" s="365" customFormat="1" ht="15.15" customHeight="1" x14ac:dyDescent="0.25">
      <c r="C436" s="366"/>
      <c r="D436" s="369"/>
      <c r="E436" s="368"/>
      <c r="F436" s="366"/>
      <c r="G436" s="366"/>
      <c r="H436" s="366"/>
      <c r="I436" s="366"/>
      <c r="J436" s="366"/>
      <c r="K436" s="366"/>
      <c r="L436" s="366"/>
    </row>
    <row r="437" spans="3:12" s="365" customFormat="1" ht="15.15" customHeight="1" x14ac:dyDescent="0.25">
      <c r="C437" s="366"/>
      <c r="D437" s="369"/>
      <c r="E437" s="368"/>
      <c r="F437" s="366"/>
      <c r="G437" s="366"/>
      <c r="H437" s="366"/>
      <c r="I437" s="366"/>
      <c r="J437" s="366"/>
      <c r="K437" s="366"/>
      <c r="L437" s="366"/>
    </row>
    <row r="438" spans="3:12" s="365" customFormat="1" ht="15.15" customHeight="1" x14ac:dyDescent="0.25">
      <c r="C438" s="366"/>
      <c r="D438" s="369"/>
      <c r="E438" s="368"/>
      <c r="F438" s="366"/>
      <c r="G438" s="366"/>
      <c r="H438" s="366"/>
      <c r="I438" s="366"/>
      <c r="J438" s="366"/>
      <c r="K438" s="366"/>
      <c r="L438" s="366"/>
    </row>
    <row r="439" spans="3:12" s="365" customFormat="1" ht="15.15" customHeight="1" x14ac:dyDescent="0.25">
      <c r="C439" s="366"/>
      <c r="D439" s="369"/>
      <c r="E439" s="368"/>
      <c r="F439" s="366"/>
      <c r="G439" s="366"/>
      <c r="H439" s="366"/>
      <c r="I439" s="366"/>
      <c r="J439" s="366"/>
      <c r="K439" s="366"/>
      <c r="L439" s="366"/>
    </row>
    <row r="440" spans="3:12" s="365" customFormat="1" ht="15.15" customHeight="1" x14ac:dyDescent="0.25">
      <c r="C440" s="366"/>
      <c r="D440" s="369"/>
      <c r="E440" s="368"/>
      <c r="F440" s="366"/>
      <c r="G440" s="366"/>
      <c r="H440" s="366"/>
      <c r="I440" s="366"/>
      <c r="J440" s="366"/>
      <c r="K440" s="366"/>
      <c r="L440" s="366"/>
    </row>
    <row r="441" spans="3:12" s="365" customFormat="1" ht="15.15" customHeight="1" x14ac:dyDescent="0.25">
      <c r="C441" s="366"/>
      <c r="D441" s="369"/>
      <c r="E441" s="368"/>
      <c r="F441" s="366"/>
      <c r="G441" s="366"/>
      <c r="H441" s="366"/>
      <c r="I441" s="366"/>
      <c r="J441" s="366"/>
      <c r="K441" s="366"/>
      <c r="L441" s="366"/>
    </row>
    <row r="442" spans="3:12" s="365" customFormat="1" ht="15.15" customHeight="1" x14ac:dyDescent="0.25">
      <c r="C442" s="366"/>
      <c r="D442" s="369"/>
      <c r="E442" s="368"/>
      <c r="F442" s="366"/>
      <c r="G442" s="366"/>
      <c r="H442" s="366"/>
      <c r="I442" s="366"/>
      <c r="J442" s="366"/>
      <c r="K442" s="366"/>
      <c r="L442" s="366"/>
    </row>
    <row r="443" spans="3:12" s="365" customFormat="1" ht="15.15" customHeight="1" x14ac:dyDescent="0.25">
      <c r="C443" s="366"/>
      <c r="D443" s="369"/>
      <c r="E443" s="368"/>
      <c r="F443" s="366"/>
      <c r="G443" s="366"/>
      <c r="H443" s="366"/>
      <c r="I443" s="366"/>
      <c r="J443" s="366"/>
      <c r="K443" s="366"/>
      <c r="L443" s="366"/>
    </row>
    <row r="444" spans="3:12" s="365" customFormat="1" ht="15.15" customHeight="1" x14ac:dyDescent="0.25">
      <c r="C444" s="366"/>
      <c r="D444" s="369"/>
      <c r="E444" s="368"/>
      <c r="F444" s="366"/>
      <c r="G444" s="366"/>
      <c r="H444" s="366"/>
      <c r="I444" s="366"/>
      <c r="J444" s="366"/>
      <c r="K444" s="366"/>
      <c r="L444" s="366"/>
    </row>
    <row r="445" spans="3:12" s="365" customFormat="1" ht="15.15" customHeight="1" x14ac:dyDescent="0.25">
      <c r="C445" s="366"/>
      <c r="D445" s="369"/>
      <c r="E445" s="368"/>
      <c r="F445" s="366"/>
      <c r="G445" s="366"/>
      <c r="H445" s="366"/>
      <c r="I445" s="366"/>
      <c r="J445" s="366"/>
      <c r="K445" s="366"/>
      <c r="L445" s="366"/>
    </row>
    <row r="446" spans="3:12" s="365" customFormat="1" ht="15.15" customHeight="1" x14ac:dyDescent="0.25">
      <c r="C446" s="366"/>
      <c r="D446" s="369"/>
      <c r="E446" s="368"/>
      <c r="F446" s="366"/>
      <c r="G446" s="366"/>
      <c r="H446" s="366"/>
      <c r="I446" s="366"/>
      <c r="J446" s="366"/>
      <c r="K446" s="366"/>
      <c r="L446" s="366"/>
    </row>
    <row r="447" spans="3:12" s="365" customFormat="1" ht="15.15" customHeight="1" x14ac:dyDescent="0.25">
      <c r="C447" s="366"/>
      <c r="D447" s="369"/>
      <c r="E447" s="368"/>
      <c r="F447" s="366"/>
      <c r="G447" s="366"/>
      <c r="H447" s="366"/>
      <c r="I447" s="366"/>
      <c r="J447" s="366"/>
      <c r="K447" s="366"/>
      <c r="L447" s="366"/>
    </row>
    <row r="448" spans="3:12" s="365" customFormat="1" ht="15.15" customHeight="1" x14ac:dyDescent="0.25">
      <c r="C448" s="366"/>
      <c r="D448" s="369"/>
      <c r="E448" s="368"/>
      <c r="F448" s="366"/>
      <c r="G448" s="366"/>
      <c r="H448" s="366"/>
      <c r="I448" s="366"/>
      <c r="J448" s="366"/>
      <c r="K448" s="366"/>
      <c r="L448" s="366"/>
    </row>
    <row r="449" spans="3:12" s="365" customFormat="1" ht="15.15" customHeight="1" x14ac:dyDescent="0.25">
      <c r="C449" s="366"/>
      <c r="D449" s="369"/>
      <c r="E449" s="368"/>
      <c r="F449" s="366"/>
      <c r="G449" s="366"/>
      <c r="H449" s="366"/>
      <c r="I449" s="366"/>
      <c r="J449" s="366"/>
      <c r="K449" s="366"/>
      <c r="L449" s="366"/>
    </row>
    <row r="450" spans="3:12" s="365" customFormat="1" ht="15.15" customHeight="1" x14ac:dyDescent="0.25">
      <c r="C450" s="366"/>
      <c r="D450" s="369"/>
      <c r="E450" s="368"/>
      <c r="F450" s="366"/>
      <c r="G450" s="366"/>
      <c r="H450" s="366"/>
      <c r="I450" s="366"/>
      <c r="J450" s="366"/>
      <c r="K450" s="366"/>
      <c r="L450" s="366"/>
    </row>
    <row r="451" spans="3:12" s="365" customFormat="1" ht="15.15" customHeight="1" x14ac:dyDescent="0.25">
      <c r="C451" s="366"/>
      <c r="D451" s="369"/>
      <c r="E451" s="368"/>
      <c r="F451" s="366"/>
      <c r="G451" s="366"/>
      <c r="H451" s="366"/>
      <c r="I451" s="366"/>
      <c r="J451" s="366"/>
      <c r="K451" s="366"/>
      <c r="L451" s="366"/>
    </row>
    <row r="452" spans="3:12" s="365" customFormat="1" ht="15.15" customHeight="1" x14ac:dyDescent="0.25">
      <c r="C452" s="366"/>
      <c r="D452" s="369"/>
      <c r="E452" s="368"/>
      <c r="F452" s="366"/>
      <c r="G452" s="366"/>
      <c r="H452" s="366"/>
      <c r="I452" s="366"/>
      <c r="J452" s="366"/>
      <c r="K452" s="366"/>
      <c r="L452" s="366"/>
    </row>
    <row r="453" spans="3:12" s="365" customFormat="1" ht="15.15" customHeight="1" x14ac:dyDescent="0.25">
      <c r="C453" s="366"/>
      <c r="D453" s="369"/>
      <c r="E453" s="368"/>
      <c r="F453" s="366"/>
      <c r="G453" s="366"/>
      <c r="H453" s="366"/>
      <c r="I453" s="366"/>
      <c r="J453" s="366"/>
      <c r="K453" s="366"/>
      <c r="L453" s="366"/>
    </row>
    <row r="454" spans="3:12" s="365" customFormat="1" ht="15.15" customHeight="1" x14ac:dyDescent="0.25">
      <c r="C454" s="366"/>
      <c r="D454" s="369"/>
      <c r="E454" s="368"/>
      <c r="F454" s="366"/>
      <c r="G454" s="366"/>
      <c r="H454" s="366"/>
      <c r="I454" s="366"/>
      <c r="J454" s="366"/>
      <c r="K454" s="366"/>
      <c r="L454" s="366"/>
    </row>
    <row r="455" spans="3:12" s="365" customFormat="1" ht="15.15" customHeight="1" x14ac:dyDescent="0.25">
      <c r="C455" s="366"/>
      <c r="D455" s="369"/>
      <c r="E455" s="368"/>
      <c r="F455" s="366"/>
      <c r="G455" s="366"/>
      <c r="H455" s="366"/>
      <c r="I455" s="366"/>
      <c r="J455" s="366"/>
      <c r="K455" s="366"/>
      <c r="L455" s="366"/>
    </row>
    <row r="456" spans="3:12" s="365" customFormat="1" ht="15.15" customHeight="1" x14ac:dyDescent="0.25">
      <c r="C456" s="366"/>
      <c r="D456" s="369"/>
      <c r="E456" s="368"/>
      <c r="F456" s="366"/>
      <c r="G456" s="366"/>
      <c r="H456" s="366"/>
      <c r="I456" s="366"/>
      <c r="J456" s="366"/>
      <c r="K456" s="366"/>
      <c r="L456" s="366"/>
    </row>
    <row r="457" spans="3:12" s="365" customFormat="1" ht="15.15" customHeight="1" x14ac:dyDescent="0.25">
      <c r="C457" s="366"/>
      <c r="D457" s="369"/>
      <c r="E457" s="368"/>
      <c r="F457" s="366"/>
      <c r="G457" s="366"/>
      <c r="H457" s="366"/>
      <c r="I457" s="366"/>
      <c r="J457" s="366"/>
      <c r="K457" s="366"/>
      <c r="L457" s="366"/>
    </row>
    <row r="458" spans="3:12" s="365" customFormat="1" ht="15.15" customHeight="1" x14ac:dyDescent="0.25">
      <c r="C458" s="366"/>
      <c r="D458" s="369"/>
      <c r="E458" s="368"/>
      <c r="F458" s="366"/>
      <c r="G458" s="366"/>
      <c r="H458" s="366"/>
      <c r="I458" s="366"/>
      <c r="J458" s="366"/>
      <c r="K458" s="366"/>
      <c r="L458" s="366"/>
    </row>
    <row r="459" spans="3:12" s="365" customFormat="1" ht="15.15" customHeight="1" x14ac:dyDescent="0.25">
      <c r="C459" s="366"/>
      <c r="D459" s="369"/>
      <c r="E459" s="368"/>
      <c r="F459" s="366"/>
      <c r="G459" s="366"/>
      <c r="H459" s="366"/>
      <c r="I459" s="366"/>
      <c r="J459" s="366"/>
      <c r="K459" s="366"/>
      <c r="L459" s="366"/>
    </row>
    <row r="460" spans="3:12" s="365" customFormat="1" ht="15.15" customHeight="1" x14ac:dyDescent="0.25">
      <c r="C460" s="366"/>
      <c r="D460" s="369"/>
      <c r="E460" s="368"/>
      <c r="F460" s="366"/>
      <c r="G460" s="366"/>
      <c r="H460" s="366"/>
      <c r="I460" s="366"/>
      <c r="J460" s="366"/>
      <c r="K460" s="366"/>
      <c r="L460" s="366"/>
    </row>
    <row r="461" spans="3:12" s="365" customFormat="1" ht="15.15" customHeight="1" x14ac:dyDescent="0.25">
      <c r="C461" s="366"/>
      <c r="D461" s="369"/>
      <c r="E461" s="368"/>
      <c r="F461" s="366"/>
      <c r="G461" s="366"/>
      <c r="H461" s="366"/>
      <c r="I461" s="366"/>
      <c r="J461" s="366"/>
      <c r="K461" s="366"/>
      <c r="L461" s="366"/>
    </row>
    <row r="462" spans="3:12" s="365" customFormat="1" ht="15.15" customHeight="1" x14ac:dyDescent="0.25">
      <c r="C462" s="366"/>
      <c r="D462" s="369"/>
      <c r="E462" s="368"/>
      <c r="F462" s="366"/>
      <c r="G462" s="366"/>
      <c r="H462" s="366"/>
      <c r="I462" s="366"/>
      <c r="J462" s="366"/>
      <c r="K462" s="366"/>
      <c r="L462" s="366"/>
    </row>
    <row r="463" spans="3:12" s="365" customFormat="1" ht="15.15" customHeight="1" x14ac:dyDescent="0.25">
      <c r="C463" s="366"/>
      <c r="D463" s="369"/>
      <c r="E463" s="368"/>
      <c r="F463" s="366"/>
      <c r="G463" s="366"/>
      <c r="H463" s="366"/>
      <c r="I463" s="366"/>
      <c r="J463" s="366"/>
      <c r="K463" s="366"/>
      <c r="L463" s="366"/>
    </row>
    <row r="464" spans="3:12" s="365" customFormat="1" ht="15.15" customHeight="1" x14ac:dyDescent="0.25">
      <c r="C464" s="366"/>
      <c r="D464" s="369"/>
      <c r="E464" s="368"/>
      <c r="F464" s="366"/>
      <c r="G464" s="366"/>
      <c r="H464" s="366"/>
      <c r="I464" s="366"/>
      <c r="J464" s="366"/>
      <c r="K464" s="366"/>
      <c r="L464" s="366"/>
    </row>
    <row r="465" spans="3:12" s="365" customFormat="1" ht="15.15" customHeight="1" x14ac:dyDescent="0.25">
      <c r="C465" s="366"/>
      <c r="D465" s="369"/>
      <c r="E465" s="368"/>
      <c r="F465" s="366"/>
      <c r="G465" s="366"/>
      <c r="H465" s="366"/>
      <c r="I465" s="366"/>
      <c r="J465" s="366"/>
      <c r="K465" s="366"/>
      <c r="L465" s="366"/>
    </row>
    <row r="466" spans="3:12" s="365" customFormat="1" ht="15.15" customHeight="1" x14ac:dyDescent="0.25">
      <c r="C466" s="366"/>
      <c r="D466" s="369"/>
      <c r="E466" s="368"/>
      <c r="F466" s="366"/>
      <c r="G466" s="366"/>
      <c r="H466" s="366"/>
      <c r="I466" s="366"/>
      <c r="J466" s="366"/>
      <c r="K466" s="366"/>
      <c r="L466" s="366"/>
    </row>
    <row r="467" spans="3:12" s="365" customFormat="1" ht="15.15" customHeight="1" x14ac:dyDescent="0.25">
      <c r="C467" s="366"/>
      <c r="D467" s="369"/>
      <c r="E467" s="368"/>
      <c r="F467" s="366"/>
      <c r="G467" s="366"/>
      <c r="H467" s="366"/>
      <c r="I467" s="366"/>
      <c r="J467" s="366"/>
      <c r="K467" s="366"/>
      <c r="L467" s="366"/>
    </row>
    <row r="468" spans="3:12" s="365" customFormat="1" ht="15.15" customHeight="1" x14ac:dyDescent="0.25">
      <c r="C468" s="366"/>
      <c r="D468" s="369"/>
      <c r="E468" s="368"/>
      <c r="F468" s="366"/>
      <c r="G468" s="366"/>
      <c r="H468" s="366"/>
      <c r="I468" s="366"/>
      <c r="J468" s="366"/>
      <c r="K468" s="366"/>
      <c r="L468" s="366"/>
    </row>
    <row r="469" spans="3:12" s="365" customFormat="1" ht="15.15" customHeight="1" x14ac:dyDescent="0.25">
      <c r="C469" s="366"/>
      <c r="D469" s="369"/>
      <c r="E469" s="368"/>
      <c r="F469" s="366"/>
      <c r="G469" s="366"/>
      <c r="H469" s="366"/>
      <c r="I469" s="366"/>
      <c r="J469" s="366"/>
      <c r="K469" s="366"/>
      <c r="L469" s="366"/>
    </row>
    <row r="470" spans="3:12" s="365" customFormat="1" ht="15.15" customHeight="1" x14ac:dyDescent="0.25">
      <c r="C470" s="366"/>
      <c r="D470" s="369"/>
      <c r="E470" s="368"/>
      <c r="F470" s="366"/>
      <c r="G470" s="366"/>
      <c r="H470" s="366"/>
      <c r="I470" s="366"/>
      <c r="J470" s="366"/>
      <c r="K470" s="366"/>
      <c r="L470" s="366"/>
    </row>
    <row r="471" spans="3:12" s="365" customFormat="1" ht="15.15" customHeight="1" x14ac:dyDescent="0.25">
      <c r="C471" s="366"/>
      <c r="D471" s="369"/>
      <c r="E471" s="368"/>
      <c r="F471" s="366"/>
      <c r="G471" s="366"/>
      <c r="H471" s="366"/>
      <c r="I471" s="366"/>
      <c r="J471" s="366"/>
      <c r="K471" s="366"/>
      <c r="L471" s="366"/>
    </row>
    <row r="472" spans="3:12" s="365" customFormat="1" ht="15.15" customHeight="1" x14ac:dyDescent="0.25">
      <c r="C472" s="366"/>
      <c r="D472" s="369"/>
      <c r="E472" s="368"/>
      <c r="F472" s="366"/>
      <c r="G472" s="366"/>
      <c r="H472" s="366"/>
      <c r="I472" s="366"/>
      <c r="J472" s="366"/>
      <c r="K472" s="366"/>
      <c r="L472" s="366"/>
    </row>
    <row r="473" spans="3:12" s="365" customFormat="1" ht="15.15" customHeight="1" x14ac:dyDescent="0.25">
      <c r="C473" s="366"/>
      <c r="D473" s="369"/>
      <c r="E473" s="368"/>
      <c r="F473" s="366"/>
      <c r="G473" s="366"/>
      <c r="H473" s="366"/>
      <c r="I473" s="366"/>
      <c r="J473" s="366"/>
      <c r="K473" s="366"/>
      <c r="L473" s="366"/>
    </row>
    <row r="474" spans="3:12" s="365" customFormat="1" ht="15.15" customHeight="1" x14ac:dyDescent="0.25">
      <c r="C474" s="366"/>
      <c r="D474" s="369"/>
      <c r="E474" s="368"/>
      <c r="F474" s="366"/>
      <c r="G474" s="366"/>
      <c r="H474" s="366"/>
      <c r="I474" s="366"/>
      <c r="J474" s="366"/>
      <c r="K474" s="366"/>
      <c r="L474" s="366"/>
    </row>
    <row r="475" spans="3:12" s="365" customFormat="1" ht="15.15" customHeight="1" x14ac:dyDescent="0.25">
      <c r="C475" s="366"/>
      <c r="D475" s="369"/>
      <c r="E475" s="368"/>
      <c r="F475" s="366"/>
      <c r="G475" s="366"/>
      <c r="H475" s="366"/>
      <c r="I475" s="366"/>
      <c r="J475" s="366"/>
      <c r="K475" s="366"/>
      <c r="L475" s="366"/>
    </row>
    <row r="476" spans="3:12" s="365" customFormat="1" ht="15.15" customHeight="1" x14ac:dyDescent="0.25">
      <c r="C476" s="366"/>
      <c r="D476" s="369"/>
      <c r="E476" s="368"/>
      <c r="F476" s="366"/>
      <c r="G476" s="366"/>
      <c r="H476" s="366"/>
      <c r="I476" s="366"/>
      <c r="J476" s="366"/>
      <c r="K476" s="366"/>
      <c r="L476" s="366"/>
    </row>
    <row r="477" spans="3:12" s="365" customFormat="1" ht="15.15" customHeight="1" x14ac:dyDescent="0.25">
      <c r="C477" s="366"/>
      <c r="D477" s="369"/>
      <c r="E477" s="368"/>
      <c r="F477" s="366"/>
      <c r="G477" s="366"/>
      <c r="H477" s="366"/>
      <c r="I477" s="366"/>
      <c r="J477" s="366"/>
      <c r="K477" s="366"/>
      <c r="L477" s="366"/>
    </row>
    <row r="478" spans="3:12" s="365" customFormat="1" ht="15.15" customHeight="1" x14ac:dyDescent="0.25">
      <c r="C478" s="366"/>
      <c r="D478" s="369"/>
      <c r="E478" s="368"/>
      <c r="F478" s="366"/>
      <c r="G478" s="366"/>
      <c r="H478" s="366"/>
      <c r="I478" s="366"/>
      <c r="J478" s="366"/>
      <c r="K478" s="366"/>
      <c r="L478" s="366"/>
    </row>
    <row r="479" spans="3:12" s="365" customFormat="1" ht="15.15" customHeight="1" x14ac:dyDescent="0.25">
      <c r="C479" s="366"/>
      <c r="D479" s="369"/>
      <c r="E479" s="368"/>
      <c r="F479" s="366"/>
      <c r="G479" s="366"/>
      <c r="H479" s="366"/>
      <c r="I479" s="366"/>
      <c r="J479" s="366"/>
      <c r="K479" s="366"/>
      <c r="L479" s="366"/>
    </row>
    <row r="480" spans="3:12" s="365" customFormat="1" ht="15.15" customHeight="1" x14ac:dyDescent="0.25">
      <c r="C480" s="366"/>
      <c r="D480" s="369"/>
      <c r="E480" s="368"/>
      <c r="F480" s="366"/>
      <c r="G480" s="366"/>
      <c r="H480" s="366"/>
      <c r="I480" s="366"/>
      <c r="J480" s="366"/>
      <c r="K480" s="366"/>
      <c r="L480" s="366"/>
    </row>
    <row r="481" spans="3:12" s="365" customFormat="1" ht="15.15" customHeight="1" x14ac:dyDescent="0.25">
      <c r="C481" s="366"/>
      <c r="D481" s="369"/>
      <c r="E481" s="368"/>
      <c r="F481" s="366"/>
      <c r="G481" s="366"/>
      <c r="H481" s="366"/>
      <c r="I481" s="366"/>
      <c r="J481" s="366"/>
      <c r="K481" s="366"/>
      <c r="L481" s="366"/>
    </row>
    <row r="482" spans="3:12" s="365" customFormat="1" ht="15.15" customHeight="1" x14ac:dyDescent="0.25">
      <c r="C482" s="366"/>
      <c r="D482" s="369"/>
      <c r="E482" s="368"/>
      <c r="F482" s="366"/>
      <c r="G482" s="366"/>
      <c r="H482" s="366"/>
      <c r="I482" s="366"/>
      <c r="J482" s="366"/>
      <c r="K482" s="366"/>
      <c r="L482" s="366"/>
    </row>
    <row r="483" spans="3:12" s="365" customFormat="1" ht="15.15" customHeight="1" x14ac:dyDescent="0.25">
      <c r="C483" s="366"/>
      <c r="D483" s="369"/>
      <c r="E483" s="368"/>
      <c r="F483" s="366"/>
      <c r="G483" s="366"/>
      <c r="H483" s="366"/>
      <c r="I483" s="366"/>
      <c r="J483" s="366"/>
      <c r="K483" s="366"/>
      <c r="L483" s="366"/>
    </row>
    <row r="484" spans="3:12" s="365" customFormat="1" ht="15.15" customHeight="1" x14ac:dyDescent="0.25">
      <c r="C484" s="366"/>
      <c r="D484" s="369"/>
      <c r="E484" s="368"/>
      <c r="F484" s="366"/>
      <c r="G484" s="366"/>
      <c r="H484" s="366"/>
      <c r="I484" s="366"/>
      <c r="J484" s="366"/>
      <c r="K484" s="366"/>
      <c r="L484" s="366"/>
    </row>
    <row r="485" spans="3:12" s="365" customFormat="1" ht="15.15" customHeight="1" x14ac:dyDescent="0.25">
      <c r="C485" s="366"/>
      <c r="D485" s="369"/>
      <c r="E485" s="368"/>
      <c r="F485" s="366"/>
      <c r="G485" s="366"/>
      <c r="H485" s="366"/>
      <c r="I485" s="366"/>
      <c r="J485" s="366"/>
      <c r="K485" s="366"/>
      <c r="L485" s="366"/>
    </row>
    <row r="486" spans="3:12" s="365" customFormat="1" ht="15.15" customHeight="1" x14ac:dyDescent="0.25">
      <c r="C486" s="366"/>
      <c r="D486" s="369"/>
      <c r="E486" s="368"/>
      <c r="F486" s="366"/>
      <c r="G486" s="366"/>
      <c r="H486" s="366"/>
      <c r="I486" s="366"/>
      <c r="J486" s="366"/>
      <c r="K486" s="366"/>
      <c r="L486" s="366"/>
    </row>
    <row r="487" spans="3:12" s="365" customFormat="1" ht="15.15" customHeight="1" x14ac:dyDescent="0.25">
      <c r="C487" s="366"/>
      <c r="D487" s="369"/>
      <c r="E487" s="368"/>
      <c r="F487" s="366"/>
      <c r="G487" s="366"/>
      <c r="H487" s="366"/>
      <c r="I487" s="366"/>
      <c r="J487" s="366"/>
      <c r="K487" s="366"/>
      <c r="L487" s="366"/>
    </row>
    <row r="488" spans="3:12" s="365" customFormat="1" ht="15.15" customHeight="1" x14ac:dyDescent="0.25">
      <c r="C488" s="366"/>
      <c r="D488" s="369"/>
      <c r="E488" s="368"/>
      <c r="F488" s="366"/>
      <c r="G488" s="366"/>
      <c r="H488" s="366"/>
      <c r="I488" s="366"/>
      <c r="J488" s="366"/>
      <c r="K488" s="366"/>
      <c r="L488" s="366"/>
    </row>
    <row r="489" spans="3:12" s="365" customFormat="1" ht="15.15" customHeight="1" x14ac:dyDescent="0.25">
      <c r="C489" s="366"/>
      <c r="D489" s="369"/>
      <c r="E489" s="368"/>
      <c r="F489" s="366"/>
      <c r="G489" s="366"/>
      <c r="H489" s="366"/>
      <c r="I489" s="366"/>
      <c r="J489" s="366"/>
      <c r="K489" s="366"/>
      <c r="L489" s="366"/>
    </row>
    <row r="490" spans="3:12" s="365" customFormat="1" ht="15.15" customHeight="1" x14ac:dyDescent="0.25">
      <c r="C490" s="366"/>
      <c r="D490" s="369"/>
      <c r="E490" s="368"/>
      <c r="F490" s="366"/>
      <c r="G490" s="366"/>
      <c r="H490" s="366"/>
      <c r="I490" s="366"/>
      <c r="J490" s="366"/>
      <c r="K490" s="366"/>
      <c r="L490" s="366"/>
    </row>
    <row r="491" spans="3:12" s="365" customFormat="1" ht="15.15" customHeight="1" x14ac:dyDescent="0.25">
      <c r="C491" s="366"/>
      <c r="D491" s="369"/>
      <c r="E491" s="368"/>
      <c r="F491" s="366"/>
      <c r="G491" s="366"/>
      <c r="H491" s="366"/>
      <c r="I491" s="366"/>
      <c r="J491" s="366"/>
      <c r="K491" s="366"/>
      <c r="L491" s="366"/>
    </row>
    <row r="492" spans="3:12" s="365" customFormat="1" ht="15.15" customHeight="1" x14ac:dyDescent="0.25">
      <c r="C492" s="366"/>
      <c r="D492" s="369"/>
      <c r="E492" s="368"/>
      <c r="F492" s="366"/>
      <c r="G492" s="366"/>
      <c r="H492" s="366"/>
      <c r="I492" s="366"/>
      <c r="J492" s="366"/>
      <c r="K492" s="366"/>
      <c r="L492" s="366"/>
    </row>
    <row r="493" spans="3:12" s="365" customFormat="1" ht="15.15" customHeight="1" x14ac:dyDescent="0.25">
      <c r="C493" s="366"/>
      <c r="D493" s="369"/>
      <c r="E493" s="368"/>
      <c r="F493" s="366"/>
      <c r="G493" s="366"/>
      <c r="H493" s="366"/>
      <c r="I493" s="366"/>
      <c r="J493" s="366"/>
      <c r="K493" s="366"/>
      <c r="L493" s="366"/>
    </row>
    <row r="494" spans="3:12" s="365" customFormat="1" ht="15.15" customHeight="1" x14ac:dyDescent="0.25">
      <c r="C494" s="366"/>
      <c r="D494" s="369"/>
      <c r="E494" s="368"/>
      <c r="F494" s="366"/>
      <c r="G494" s="366"/>
      <c r="H494" s="366"/>
      <c r="I494" s="366"/>
      <c r="J494" s="366"/>
      <c r="K494" s="366"/>
      <c r="L494" s="366"/>
    </row>
    <row r="495" spans="3:12" s="365" customFormat="1" ht="15.15" customHeight="1" x14ac:dyDescent="0.25">
      <c r="C495" s="366"/>
      <c r="D495" s="369"/>
      <c r="E495" s="368"/>
      <c r="F495" s="366"/>
      <c r="G495" s="366"/>
      <c r="H495" s="366"/>
      <c r="I495" s="366"/>
      <c r="J495" s="366"/>
      <c r="K495" s="366"/>
      <c r="L495" s="366"/>
    </row>
    <row r="496" spans="3:12" s="365" customFormat="1" ht="15.15" customHeight="1" x14ac:dyDescent="0.25">
      <c r="C496" s="366"/>
      <c r="D496" s="369"/>
      <c r="E496" s="368"/>
      <c r="F496" s="366"/>
      <c r="G496" s="366"/>
      <c r="H496" s="366"/>
      <c r="I496" s="366"/>
      <c r="J496" s="366"/>
      <c r="K496" s="366"/>
      <c r="L496" s="366"/>
    </row>
    <row r="497" spans="3:12" s="365" customFormat="1" ht="15.15" customHeight="1" x14ac:dyDescent="0.25">
      <c r="C497" s="366"/>
      <c r="D497" s="369"/>
      <c r="E497" s="368"/>
      <c r="F497" s="366"/>
      <c r="G497" s="366"/>
      <c r="H497" s="366"/>
      <c r="I497" s="366"/>
      <c r="J497" s="366"/>
      <c r="K497" s="366"/>
      <c r="L497" s="366"/>
    </row>
    <row r="498" spans="3:12" s="365" customFormat="1" ht="15.15" customHeight="1" x14ac:dyDescent="0.25">
      <c r="C498" s="366"/>
      <c r="D498" s="369"/>
      <c r="E498" s="368"/>
      <c r="F498" s="366"/>
      <c r="G498" s="366"/>
      <c r="H498" s="366"/>
      <c r="I498" s="366"/>
      <c r="J498" s="366"/>
      <c r="K498" s="366"/>
      <c r="L498" s="366"/>
    </row>
    <row r="499" spans="3:12" s="365" customFormat="1" ht="15.15" customHeight="1" x14ac:dyDescent="0.25">
      <c r="C499" s="366"/>
      <c r="D499" s="369"/>
      <c r="E499" s="368"/>
      <c r="F499" s="366"/>
      <c r="G499" s="366"/>
      <c r="H499" s="366"/>
      <c r="I499" s="366"/>
      <c r="J499" s="366"/>
      <c r="K499" s="366"/>
      <c r="L499" s="366"/>
    </row>
    <row r="500" spans="3:12" s="365" customFormat="1" ht="15.15" customHeight="1" x14ac:dyDescent="0.25">
      <c r="C500" s="366"/>
      <c r="D500" s="369"/>
      <c r="E500" s="368"/>
      <c r="F500" s="366"/>
      <c r="G500" s="366"/>
      <c r="H500" s="366"/>
      <c r="I500" s="366"/>
      <c r="J500" s="366"/>
      <c r="K500" s="366"/>
      <c r="L500" s="366"/>
    </row>
    <row r="501" spans="3:12" s="365" customFormat="1" ht="15.15" customHeight="1" x14ac:dyDescent="0.25">
      <c r="C501" s="366"/>
      <c r="D501" s="369"/>
      <c r="E501" s="368"/>
      <c r="F501" s="366"/>
      <c r="G501" s="366"/>
      <c r="H501" s="366"/>
      <c r="I501" s="366"/>
      <c r="J501" s="366"/>
      <c r="K501" s="366"/>
      <c r="L501" s="366"/>
    </row>
    <row r="502" spans="3:12" s="365" customFormat="1" ht="15.15" customHeight="1" x14ac:dyDescent="0.25">
      <c r="C502" s="366"/>
      <c r="D502" s="369"/>
      <c r="E502" s="368"/>
      <c r="F502" s="366"/>
      <c r="G502" s="366"/>
      <c r="H502" s="366"/>
      <c r="I502" s="366"/>
      <c r="J502" s="366"/>
      <c r="K502" s="366"/>
      <c r="L502" s="366"/>
    </row>
    <row r="503" spans="3:12" s="365" customFormat="1" ht="15.15" customHeight="1" x14ac:dyDescent="0.25">
      <c r="C503" s="366"/>
      <c r="D503" s="369"/>
      <c r="E503" s="368"/>
      <c r="F503" s="366"/>
      <c r="G503" s="366"/>
      <c r="H503" s="366"/>
      <c r="I503" s="366"/>
      <c r="J503" s="366"/>
      <c r="K503" s="366"/>
      <c r="L503" s="366"/>
    </row>
    <row r="504" spans="3:12" s="365" customFormat="1" ht="15.15" customHeight="1" x14ac:dyDescent="0.25">
      <c r="C504" s="366"/>
      <c r="D504" s="369"/>
      <c r="E504" s="368"/>
      <c r="F504" s="366"/>
      <c r="G504" s="366"/>
      <c r="H504" s="366"/>
      <c r="I504" s="366"/>
      <c r="J504" s="366"/>
      <c r="K504" s="366"/>
      <c r="L504" s="366"/>
    </row>
    <row r="505" spans="3:12" s="365" customFormat="1" ht="15.15" customHeight="1" x14ac:dyDescent="0.25">
      <c r="C505" s="366"/>
      <c r="D505" s="369"/>
      <c r="E505" s="368"/>
      <c r="F505" s="366"/>
      <c r="G505" s="366"/>
      <c r="H505" s="366"/>
      <c r="I505" s="366"/>
      <c r="J505" s="366"/>
      <c r="K505" s="366"/>
      <c r="L505" s="366"/>
    </row>
    <row r="506" spans="3:12" s="365" customFormat="1" ht="15.15" customHeight="1" x14ac:dyDescent="0.25">
      <c r="C506" s="366"/>
      <c r="D506" s="369"/>
      <c r="E506" s="368"/>
      <c r="F506" s="366"/>
      <c r="G506" s="366"/>
      <c r="H506" s="366"/>
      <c r="I506" s="366"/>
      <c r="J506" s="366"/>
      <c r="K506" s="366"/>
      <c r="L506" s="366"/>
    </row>
    <row r="507" spans="3:12" s="365" customFormat="1" ht="15.15" customHeight="1" x14ac:dyDescent="0.25">
      <c r="C507" s="366"/>
      <c r="D507" s="369"/>
      <c r="E507" s="368"/>
      <c r="F507" s="366"/>
      <c r="G507" s="366"/>
      <c r="H507" s="366"/>
      <c r="I507" s="366"/>
      <c r="J507" s="366"/>
      <c r="K507" s="366"/>
      <c r="L507" s="366"/>
    </row>
    <row r="508" spans="3:12" s="365" customFormat="1" ht="15.15" customHeight="1" x14ac:dyDescent="0.25">
      <c r="C508" s="366"/>
      <c r="D508" s="369"/>
      <c r="E508" s="368"/>
      <c r="F508" s="366"/>
      <c r="G508" s="366"/>
      <c r="H508" s="366"/>
      <c r="I508" s="366"/>
      <c r="J508" s="366"/>
      <c r="K508" s="366"/>
      <c r="L508" s="366"/>
    </row>
    <row r="509" spans="3:12" s="365" customFormat="1" ht="15.15" customHeight="1" x14ac:dyDescent="0.25">
      <c r="C509" s="366"/>
      <c r="D509" s="369"/>
      <c r="E509" s="368"/>
      <c r="F509" s="366"/>
      <c r="G509" s="366"/>
      <c r="H509" s="366"/>
      <c r="I509" s="366"/>
      <c r="J509" s="366"/>
      <c r="K509" s="366"/>
      <c r="L509" s="366"/>
    </row>
    <row r="510" spans="3:12" s="365" customFormat="1" ht="15.15" customHeight="1" x14ac:dyDescent="0.25">
      <c r="C510" s="366"/>
      <c r="D510" s="369"/>
      <c r="E510" s="368"/>
      <c r="F510" s="366"/>
      <c r="G510" s="366"/>
      <c r="H510" s="366"/>
      <c r="I510" s="366"/>
      <c r="J510" s="366"/>
      <c r="K510" s="366"/>
      <c r="L510" s="366"/>
    </row>
    <row r="511" spans="3:12" s="365" customFormat="1" ht="15.15" customHeight="1" x14ac:dyDescent="0.25">
      <c r="C511" s="366"/>
      <c r="D511" s="369"/>
      <c r="E511" s="368"/>
      <c r="F511" s="366"/>
      <c r="G511" s="366"/>
      <c r="H511" s="366"/>
      <c r="I511" s="366"/>
      <c r="J511" s="366"/>
      <c r="K511" s="366"/>
      <c r="L511" s="366"/>
    </row>
    <row r="512" spans="3:12" s="365" customFormat="1" ht="15.15" customHeight="1" x14ac:dyDescent="0.25">
      <c r="C512" s="366"/>
      <c r="D512" s="369"/>
      <c r="E512" s="368"/>
      <c r="F512" s="366"/>
      <c r="G512" s="366"/>
      <c r="H512" s="366"/>
      <c r="I512" s="366"/>
      <c r="J512" s="366"/>
      <c r="K512" s="366"/>
      <c r="L512" s="366"/>
    </row>
    <row r="513" spans="3:12" s="365" customFormat="1" ht="15.15" customHeight="1" x14ac:dyDescent="0.25">
      <c r="C513" s="366"/>
      <c r="D513" s="369"/>
      <c r="E513" s="368"/>
      <c r="F513" s="366"/>
      <c r="G513" s="366"/>
      <c r="H513" s="366"/>
      <c r="I513" s="366"/>
      <c r="J513" s="366"/>
      <c r="K513" s="366"/>
      <c r="L513" s="366"/>
    </row>
    <row r="514" spans="3:12" s="365" customFormat="1" ht="15.15" customHeight="1" x14ac:dyDescent="0.25">
      <c r="C514" s="366"/>
      <c r="D514" s="369"/>
      <c r="E514" s="368"/>
      <c r="F514" s="366"/>
      <c r="G514" s="366"/>
      <c r="H514" s="366"/>
      <c r="I514" s="366"/>
      <c r="J514" s="366"/>
      <c r="K514" s="366"/>
      <c r="L514" s="366"/>
    </row>
    <row r="515" spans="3:12" s="365" customFormat="1" ht="15.15" customHeight="1" x14ac:dyDescent="0.25">
      <c r="C515" s="366"/>
      <c r="D515" s="369"/>
      <c r="E515" s="368"/>
      <c r="F515" s="366"/>
      <c r="G515" s="366"/>
      <c r="H515" s="366"/>
      <c r="I515" s="366"/>
      <c r="J515" s="366"/>
      <c r="K515" s="366"/>
      <c r="L515" s="366"/>
    </row>
    <row r="516" spans="3:12" s="365" customFormat="1" ht="15.15" customHeight="1" x14ac:dyDescent="0.25">
      <c r="C516" s="366"/>
      <c r="D516" s="369"/>
      <c r="E516" s="368"/>
      <c r="F516" s="366"/>
      <c r="G516" s="366"/>
      <c r="H516" s="366"/>
      <c r="I516" s="366"/>
      <c r="J516" s="366"/>
      <c r="K516" s="366"/>
      <c r="L516" s="366"/>
    </row>
    <row r="517" spans="3:12" s="365" customFormat="1" ht="15.15" customHeight="1" x14ac:dyDescent="0.25">
      <c r="C517" s="366"/>
      <c r="D517" s="369"/>
      <c r="E517" s="368"/>
      <c r="F517" s="366"/>
      <c r="G517" s="366"/>
      <c r="H517" s="366"/>
      <c r="I517" s="366"/>
      <c r="J517" s="366"/>
      <c r="K517" s="366"/>
      <c r="L517" s="366"/>
    </row>
    <row r="518" spans="3:12" s="365" customFormat="1" ht="15.15" customHeight="1" x14ac:dyDescent="0.25">
      <c r="C518" s="366"/>
      <c r="D518" s="369"/>
      <c r="E518" s="368"/>
      <c r="F518" s="366"/>
      <c r="G518" s="366"/>
      <c r="H518" s="366"/>
      <c r="I518" s="366"/>
      <c r="J518" s="366"/>
      <c r="K518" s="366"/>
      <c r="L518" s="366"/>
    </row>
    <row r="519" spans="3:12" s="365" customFormat="1" ht="15.15" customHeight="1" x14ac:dyDescent="0.25">
      <c r="C519" s="366"/>
      <c r="D519" s="369"/>
      <c r="E519" s="368"/>
      <c r="F519" s="366"/>
      <c r="G519" s="366"/>
      <c r="H519" s="366"/>
      <c r="I519" s="366"/>
      <c r="J519" s="366"/>
      <c r="K519" s="366"/>
      <c r="L519" s="366"/>
    </row>
    <row r="520" spans="3:12" s="365" customFormat="1" ht="15.15" customHeight="1" x14ac:dyDescent="0.25">
      <c r="C520" s="366"/>
      <c r="D520" s="369"/>
      <c r="E520" s="368"/>
      <c r="F520" s="366"/>
      <c r="G520" s="366"/>
      <c r="H520" s="366"/>
      <c r="I520" s="366"/>
      <c r="J520" s="366"/>
      <c r="K520" s="366"/>
      <c r="L520" s="366"/>
    </row>
    <row r="521" spans="3:12" s="365" customFormat="1" ht="15.15" customHeight="1" x14ac:dyDescent="0.25">
      <c r="C521" s="366"/>
      <c r="D521" s="369"/>
      <c r="E521" s="368"/>
      <c r="F521" s="366"/>
      <c r="G521" s="366"/>
      <c r="H521" s="366"/>
      <c r="I521" s="366"/>
      <c r="J521" s="366"/>
      <c r="K521" s="366"/>
      <c r="L521" s="366"/>
    </row>
    <row r="522" spans="3:12" s="365" customFormat="1" ht="15.15" customHeight="1" x14ac:dyDescent="0.25">
      <c r="C522" s="366"/>
      <c r="D522" s="369"/>
      <c r="E522" s="368"/>
      <c r="F522" s="366"/>
      <c r="G522" s="366"/>
      <c r="H522" s="366"/>
      <c r="I522" s="366"/>
      <c r="J522" s="366"/>
      <c r="K522" s="366"/>
      <c r="L522" s="366"/>
    </row>
    <row r="523" spans="3:12" s="365" customFormat="1" ht="15.15" customHeight="1" x14ac:dyDescent="0.25">
      <c r="C523" s="366"/>
      <c r="D523" s="369"/>
      <c r="E523" s="368"/>
      <c r="F523" s="366"/>
      <c r="G523" s="366"/>
      <c r="H523" s="366"/>
      <c r="I523" s="366"/>
      <c r="J523" s="366"/>
      <c r="K523" s="366"/>
      <c r="L523" s="366"/>
    </row>
    <row r="524" spans="3:12" s="365" customFormat="1" ht="15.15" customHeight="1" x14ac:dyDescent="0.25">
      <c r="C524" s="366"/>
      <c r="D524" s="369"/>
      <c r="E524" s="368"/>
      <c r="F524" s="366"/>
      <c r="G524" s="366"/>
      <c r="H524" s="366"/>
      <c r="I524" s="366"/>
      <c r="J524" s="366"/>
      <c r="K524" s="366"/>
      <c r="L524" s="366"/>
    </row>
    <row r="525" spans="3:12" s="365" customFormat="1" ht="15.15" customHeight="1" x14ac:dyDescent="0.25">
      <c r="C525" s="366"/>
      <c r="D525" s="369"/>
      <c r="E525" s="368"/>
      <c r="F525" s="366"/>
      <c r="G525" s="366"/>
      <c r="H525" s="366"/>
      <c r="I525" s="366"/>
      <c r="J525" s="366"/>
      <c r="K525" s="366"/>
      <c r="L525" s="366"/>
    </row>
    <row r="526" spans="3:12" s="365" customFormat="1" ht="15.15" customHeight="1" x14ac:dyDescent="0.25">
      <c r="C526" s="366"/>
      <c r="D526" s="369"/>
      <c r="E526" s="368"/>
      <c r="F526" s="366"/>
      <c r="G526" s="366"/>
      <c r="H526" s="366"/>
      <c r="I526" s="366"/>
      <c r="J526" s="366"/>
      <c r="K526" s="366"/>
      <c r="L526" s="366"/>
    </row>
    <row r="527" spans="3:12" s="365" customFormat="1" ht="15.15" customHeight="1" x14ac:dyDescent="0.25">
      <c r="C527" s="366"/>
      <c r="D527" s="369"/>
      <c r="E527" s="368"/>
      <c r="F527" s="366"/>
      <c r="G527" s="366"/>
      <c r="H527" s="366"/>
      <c r="I527" s="366"/>
      <c r="J527" s="366"/>
      <c r="K527" s="366"/>
      <c r="L527" s="366"/>
    </row>
    <row r="528" spans="3:12" s="365" customFormat="1" ht="15.15" customHeight="1" x14ac:dyDescent="0.25">
      <c r="C528" s="366"/>
      <c r="D528" s="369"/>
      <c r="E528" s="368"/>
      <c r="F528" s="366"/>
      <c r="G528" s="366"/>
      <c r="H528" s="366"/>
      <c r="I528" s="366"/>
      <c r="J528" s="366"/>
      <c r="K528" s="366"/>
      <c r="L528" s="366"/>
    </row>
    <row r="529" spans="3:12" s="365" customFormat="1" ht="15.15" customHeight="1" x14ac:dyDescent="0.25">
      <c r="C529" s="366"/>
      <c r="D529" s="369"/>
      <c r="E529" s="368"/>
      <c r="F529" s="366"/>
      <c r="G529" s="366"/>
      <c r="H529" s="366"/>
      <c r="I529" s="366"/>
      <c r="J529" s="366"/>
      <c r="K529" s="366"/>
      <c r="L529" s="366"/>
    </row>
    <row r="530" spans="3:12" s="365" customFormat="1" ht="15.15" customHeight="1" x14ac:dyDescent="0.25">
      <c r="C530" s="366"/>
      <c r="D530" s="369"/>
      <c r="E530" s="368"/>
      <c r="F530" s="366"/>
      <c r="G530" s="366"/>
      <c r="H530" s="366"/>
      <c r="I530" s="366"/>
      <c r="J530" s="366"/>
      <c r="K530" s="366"/>
      <c r="L530" s="366"/>
    </row>
    <row r="531" spans="3:12" s="365" customFormat="1" ht="15.15" customHeight="1" x14ac:dyDescent="0.25">
      <c r="C531" s="366"/>
      <c r="D531" s="369"/>
      <c r="E531" s="368"/>
      <c r="F531" s="366"/>
      <c r="G531" s="366"/>
      <c r="H531" s="366"/>
      <c r="I531" s="366"/>
      <c r="J531" s="366"/>
      <c r="K531" s="366"/>
      <c r="L531" s="366"/>
    </row>
    <row r="532" spans="3:12" s="365" customFormat="1" ht="15.15" customHeight="1" x14ac:dyDescent="0.25">
      <c r="C532" s="366"/>
      <c r="D532" s="369"/>
      <c r="E532" s="368"/>
      <c r="F532" s="366"/>
      <c r="G532" s="366"/>
      <c r="H532" s="366"/>
      <c r="I532" s="366"/>
      <c r="J532" s="366"/>
      <c r="K532" s="366"/>
      <c r="L532" s="366"/>
    </row>
    <row r="533" spans="3:12" s="365" customFormat="1" ht="15.15" customHeight="1" x14ac:dyDescent="0.25">
      <c r="C533" s="366"/>
      <c r="D533" s="369"/>
      <c r="E533" s="368"/>
      <c r="F533" s="366"/>
      <c r="G533" s="366"/>
      <c r="H533" s="366"/>
      <c r="I533" s="366"/>
      <c r="J533" s="366"/>
      <c r="K533" s="366"/>
      <c r="L533" s="366"/>
    </row>
    <row r="534" spans="3:12" s="365" customFormat="1" ht="15.15" customHeight="1" x14ac:dyDescent="0.25">
      <c r="C534" s="366"/>
      <c r="D534" s="369"/>
      <c r="E534" s="368"/>
      <c r="F534" s="366"/>
      <c r="G534" s="366"/>
      <c r="H534" s="366"/>
      <c r="I534" s="366"/>
      <c r="J534" s="366"/>
      <c r="K534" s="366"/>
      <c r="L534" s="366"/>
    </row>
    <row r="535" spans="3:12" s="365" customFormat="1" ht="15.15" customHeight="1" x14ac:dyDescent="0.25">
      <c r="C535" s="366"/>
      <c r="D535" s="369"/>
      <c r="E535" s="368"/>
      <c r="F535" s="366"/>
      <c r="G535" s="366"/>
      <c r="H535" s="366"/>
      <c r="I535" s="366"/>
      <c r="J535" s="366"/>
      <c r="K535" s="366"/>
      <c r="L535" s="366"/>
    </row>
    <row r="536" spans="3:12" s="365" customFormat="1" ht="15.15" customHeight="1" x14ac:dyDescent="0.25">
      <c r="C536" s="366"/>
      <c r="D536" s="369"/>
      <c r="E536" s="368"/>
      <c r="F536" s="366"/>
      <c r="G536" s="366"/>
      <c r="H536" s="366"/>
      <c r="I536" s="366"/>
      <c r="J536" s="366"/>
      <c r="K536" s="366"/>
      <c r="L536" s="366"/>
    </row>
    <row r="537" spans="3:12" s="365" customFormat="1" ht="15.15" customHeight="1" x14ac:dyDescent="0.25">
      <c r="C537" s="366"/>
      <c r="D537" s="369"/>
      <c r="E537" s="368"/>
      <c r="F537" s="366"/>
      <c r="G537" s="366"/>
      <c r="H537" s="366"/>
      <c r="I537" s="366"/>
      <c r="J537" s="366"/>
      <c r="K537" s="366"/>
      <c r="L537" s="366"/>
    </row>
    <row r="538" spans="3:12" s="365" customFormat="1" ht="15.15" customHeight="1" x14ac:dyDescent="0.25">
      <c r="C538" s="366"/>
      <c r="D538" s="369"/>
      <c r="E538" s="368"/>
      <c r="F538" s="366"/>
      <c r="G538" s="366"/>
      <c r="H538" s="366"/>
      <c r="I538" s="366"/>
      <c r="J538" s="366"/>
      <c r="K538" s="366"/>
      <c r="L538" s="366"/>
    </row>
    <row r="539" spans="3:12" s="365" customFormat="1" ht="15.15" customHeight="1" x14ac:dyDescent="0.25">
      <c r="C539" s="366"/>
      <c r="D539" s="369"/>
      <c r="E539" s="368"/>
      <c r="F539" s="366"/>
      <c r="G539" s="366"/>
      <c r="H539" s="366"/>
      <c r="I539" s="366"/>
      <c r="J539" s="366"/>
      <c r="K539" s="366"/>
      <c r="L539" s="366"/>
    </row>
    <row r="540" spans="3:12" s="365" customFormat="1" ht="15.15" customHeight="1" x14ac:dyDescent="0.25">
      <c r="C540" s="366"/>
      <c r="D540" s="369"/>
      <c r="E540" s="368"/>
      <c r="F540" s="366"/>
      <c r="G540" s="366"/>
      <c r="H540" s="366"/>
      <c r="I540" s="366"/>
      <c r="J540" s="366"/>
      <c r="K540" s="366"/>
      <c r="L540" s="366"/>
    </row>
    <row r="541" spans="3:12" s="365" customFormat="1" ht="15.15" customHeight="1" x14ac:dyDescent="0.25">
      <c r="C541" s="366"/>
      <c r="D541" s="369"/>
      <c r="E541" s="368"/>
      <c r="F541" s="366"/>
      <c r="G541" s="366"/>
      <c r="H541" s="366"/>
      <c r="I541" s="366"/>
      <c r="J541" s="366"/>
      <c r="K541" s="366"/>
      <c r="L541" s="366"/>
    </row>
    <row r="542" spans="3:12" s="365" customFormat="1" ht="15.15" customHeight="1" x14ac:dyDescent="0.25">
      <c r="C542" s="366"/>
      <c r="D542" s="369"/>
      <c r="E542" s="368"/>
      <c r="F542" s="366"/>
      <c r="G542" s="366"/>
      <c r="H542" s="366"/>
      <c r="I542" s="366"/>
      <c r="J542" s="366"/>
      <c r="K542" s="366"/>
      <c r="L542" s="366"/>
    </row>
    <row r="543" spans="3:12" s="365" customFormat="1" ht="15.15" customHeight="1" x14ac:dyDescent="0.25">
      <c r="C543" s="366"/>
      <c r="D543" s="369"/>
      <c r="E543" s="368"/>
      <c r="F543" s="366"/>
      <c r="G543" s="366"/>
      <c r="H543" s="366"/>
      <c r="I543" s="366"/>
      <c r="J543" s="366"/>
      <c r="K543" s="366"/>
      <c r="L543" s="366"/>
    </row>
    <row r="544" spans="3:12" s="365" customFormat="1" ht="15.15" customHeight="1" x14ac:dyDescent="0.25">
      <c r="C544" s="366"/>
      <c r="D544" s="369"/>
      <c r="E544" s="368"/>
      <c r="F544" s="366"/>
      <c r="G544" s="366"/>
      <c r="H544" s="366"/>
      <c r="I544" s="366"/>
      <c r="J544" s="366"/>
      <c r="K544" s="366"/>
      <c r="L544" s="366"/>
    </row>
    <row r="545" spans="3:12" s="365" customFormat="1" ht="15.15" customHeight="1" x14ac:dyDescent="0.25">
      <c r="C545" s="366"/>
      <c r="D545" s="369"/>
      <c r="E545" s="368"/>
      <c r="F545" s="366"/>
      <c r="G545" s="366"/>
      <c r="H545" s="366"/>
      <c r="I545" s="366"/>
      <c r="J545" s="366"/>
      <c r="K545" s="366"/>
      <c r="L545" s="366"/>
    </row>
    <row r="546" spans="3:12" s="365" customFormat="1" ht="15.15" customHeight="1" x14ac:dyDescent="0.25">
      <c r="C546" s="366"/>
      <c r="D546" s="369"/>
      <c r="E546" s="368"/>
      <c r="F546" s="366"/>
      <c r="G546" s="366"/>
      <c r="H546" s="366"/>
      <c r="I546" s="366"/>
      <c r="J546" s="366"/>
      <c r="K546" s="366"/>
      <c r="L546" s="366"/>
    </row>
    <row r="547" spans="3:12" s="365" customFormat="1" ht="15.15" customHeight="1" x14ac:dyDescent="0.25">
      <c r="C547" s="366"/>
      <c r="D547" s="369"/>
      <c r="E547" s="368"/>
      <c r="F547" s="366"/>
      <c r="G547" s="366"/>
      <c r="H547" s="366"/>
      <c r="I547" s="366"/>
      <c r="J547" s="366"/>
      <c r="K547" s="366"/>
      <c r="L547" s="366"/>
    </row>
    <row r="548" spans="3:12" s="365" customFormat="1" ht="15.15" customHeight="1" x14ac:dyDescent="0.25">
      <c r="C548" s="366"/>
      <c r="D548" s="369"/>
      <c r="E548" s="368"/>
      <c r="F548" s="366"/>
      <c r="G548" s="366"/>
      <c r="H548" s="366"/>
      <c r="I548" s="366"/>
      <c r="J548" s="366"/>
      <c r="K548" s="366"/>
      <c r="L548" s="366"/>
    </row>
    <row r="549" spans="3:12" s="365" customFormat="1" ht="15.15" customHeight="1" x14ac:dyDescent="0.25">
      <c r="C549" s="366"/>
      <c r="D549" s="369"/>
      <c r="E549" s="368"/>
      <c r="F549" s="366"/>
      <c r="G549" s="366"/>
      <c r="H549" s="366"/>
      <c r="I549" s="366"/>
      <c r="J549" s="366"/>
      <c r="K549" s="366"/>
      <c r="L549" s="366"/>
    </row>
    <row r="550" spans="3:12" s="365" customFormat="1" ht="15.15" customHeight="1" x14ac:dyDescent="0.25">
      <c r="C550" s="366"/>
      <c r="D550" s="369"/>
      <c r="E550" s="368"/>
      <c r="F550" s="366"/>
      <c r="G550" s="366"/>
      <c r="H550" s="366"/>
      <c r="I550" s="366"/>
      <c r="J550" s="366"/>
      <c r="K550" s="366"/>
      <c r="L550" s="366"/>
    </row>
    <row r="551" spans="3:12" s="365" customFormat="1" ht="15.15" customHeight="1" x14ac:dyDescent="0.25">
      <c r="C551" s="366"/>
      <c r="D551" s="369"/>
      <c r="E551" s="368"/>
      <c r="F551" s="366"/>
      <c r="G551" s="366"/>
      <c r="H551" s="366"/>
      <c r="I551" s="366"/>
      <c r="J551" s="366"/>
      <c r="K551" s="366"/>
      <c r="L551" s="366"/>
    </row>
    <row r="552" spans="3:12" s="365" customFormat="1" ht="15.15" customHeight="1" x14ac:dyDescent="0.25">
      <c r="C552" s="366"/>
      <c r="D552" s="369"/>
      <c r="E552" s="368"/>
      <c r="F552" s="366"/>
      <c r="G552" s="366"/>
      <c r="H552" s="366"/>
      <c r="I552" s="366"/>
      <c r="J552" s="366"/>
      <c r="K552" s="366"/>
      <c r="L552" s="366"/>
    </row>
    <row r="553" spans="3:12" s="365" customFormat="1" ht="15.15" customHeight="1" x14ac:dyDescent="0.25">
      <c r="C553" s="366"/>
      <c r="D553" s="369"/>
      <c r="E553" s="368"/>
      <c r="F553" s="366"/>
      <c r="G553" s="366"/>
      <c r="H553" s="366"/>
      <c r="I553" s="366"/>
      <c r="J553" s="366"/>
      <c r="K553" s="366"/>
      <c r="L553" s="366"/>
    </row>
    <row r="554" spans="3:12" s="365" customFormat="1" ht="15.15" customHeight="1" x14ac:dyDescent="0.25">
      <c r="C554" s="366"/>
      <c r="D554" s="369"/>
      <c r="E554" s="368"/>
      <c r="F554" s="366"/>
      <c r="G554" s="366"/>
      <c r="H554" s="366"/>
      <c r="I554" s="366"/>
      <c r="J554" s="366"/>
      <c r="K554" s="366"/>
      <c r="L554" s="366"/>
    </row>
    <row r="555" spans="3:12" s="365" customFormat="1" ht="15.15" customHeight="1" x14ac:dyDescent="0.25">
      <c r="C555" s="366"/>
      <c r="D555" s="369"/>
      <c r="E555" s="368"/>
      <c r="F555" s="366"/>
      <c r="G555" s="366"/>
      <c r="H555" s="366"/>
      <c r="I555" s="366"/>
      <c r="J555" s="366"/>
      <c r="K555" s="366"/>
      <c r="L555" s="366"/>
    </row>
    <row r="556" spans="3:12" s="365" customFormat="1" ht="15.15" customHeight="1" x14ac:dyDescent="0.25">
      <c r="C556" s="366"/>
      <c r="D556" s="369"/>
      <c r="E556" s="368"/>
      <c r="F556" s="366"/>
      <c r="G556" s="366"/>
      <c r="H556" s="366"/>
      <c r="I556" s="366"/>
      <c r="J556" s="366"/>
      <c r="K556" s="366"/>
      <c r="L556" s="366"/>
    </row>
    <row r="557" spans="3:12" s="365" customFormat="1" ht="15.15" customHeight="1" x14ac:dyDescent="0.25">
      <c r="C557" s="366"/>
      <c r="D557" s="369"/>
      <c r="E557" s="368"/>
      <c r="F557" s="366"/>
      <c r="G557" s="366"/>
      <c r="H557" s="366"/>
      <c r="I557" s="366"/>
      <c r="J557" s="366"/>
      <c r="K557" s="366"/>
      <c r="L557" s="366"/>
    </row>
    <row r="558" spans="3:12" s="365" customFormat="1" ht="15.15" customHeight="1" x14ac:dyDescent="0.25">
      <c r="C558" s="366"/>
      <c r="D558" s="369"/>
      <c r="E558" s="368"/>
      <c r="F558" s="366"/>
      <c r="G558" s="366"/>
      <c r="H558" s="366"/>
      <c r="I558" s="366"/>
      <c r="J558" s="366"/>
      <c r="K558" s="366"/>
      <c r="L558" s="366"/>
    </row>
    <row r="559" spans="3:12" s="365" customFormat="1" ht="15.15" customHeight="1" x14ac:dyDescent="0.25">
      <c r="C559" s="366"/>
      <c r="D559" s="369"/>
      <c r="E559" s="368"/>
      <c r="F559" s="366"/>
      <c r="G559" s="366"/>
      <c r="H559" s="366"/>
      <c r="I559" s="366"/>
      <c r="J559" s="366"/>
      <c r="K559" s="366"/>
      <c r="L559" s="366"/>
    </row>
    <row r="560" spans="3:12" s="365" customFormat="1" ht="15.15" customHeight="1" x14ac:dyDescent="0.25">
      <c r="C560" s="366"/>
      <c r="D560" s="369"/>
      <c r="E560" s="368"/>
      <c r="F560" s="366"/>
      <c r="G560" s="366"/>
      <c r="H560" s="366"/>
      <c r="I560" s="366"/>
      <c r="J560" s="366"/>
      <c r="K560" s="366"/>
      <c r="L560" s="366"/>
    </row>
    <row r="561" spans="3:12" s="365" customFormat="1" ht="15.15" customHeight="1" x14ac:dyDescent="0.25">
      <c r="C561" s="366"/>
      <c r="D561" s="369"/>
      <c r="E561" s="368"/>
      <c r="F561" s="366"/>
      <c r="G561" s="366"/>
      <c r="H561" s="366"/>
      <c r="I561" s="366"/>
      <c r="J561" s="366"/>
      <c r="K561" s="366"/>
      <c r="L561" s="366"/>
    </row>
    <row r="562" spans="3:12" s="365" customFormat="1" ht="15.15" customHeight="1" x14ac:dyDescent="0.25">
      <c r="C562" s="366"/>
      <c r="D562" s="369"/>
      <c r="E562" s="368"/>
      <c r="F562" s="366"/>
      <c r="G562" s="366"/>
      <c r="H562" s="366"/>
      <c r="I562" s="366"/>
      <c r="J562" s="366"/>
      <c r="K562" s="366"/>
      <c r="L562" s="366"/>
    </row>
    <row r="563" spans="3:12" s="365" customFormat="1" ht="15.15" customHeight="1" x14ac:dyDescent="0.25">
      <c r="C563" s="366"/>
      <c r="D563" s="369"/>
      <c r="E563" s="368"/>
      <c r="F563" s="366"/>
      <c r="G563" s="366"/>
      <c r="H563" s="366"/>
      <c r="I563" s="366"/>
      <c r="J563" s="366"/>
      <c r="K563" s="366"/>
      <c r="L563" s="366"/>
    </row>
    <row r="564" spans="3:12" s="365" customFormat="1" ht="15.15" customHeight="1" x14ac:dyDescent="0.25">
      <c r="C564" s="366"/>
      <c r="D564" s="369"/>
      <c r="E564" s="368"/>
      <c r="F564" s="366"/>
      <c r="G564" s="366"/>
      <c r="H564" s="366"/>
      <c r="I564" s="366"/>
      <c r="J564" s="366"/>
      <c r="K564" s="366"/>
      <c r="L564" s="366"/>
    </row>
    <row r="565" spans="3:12" s="365" customFormat="1" ht="15.15" customHeight="1" x14ac:dyDescent="0.25">
      <c r="C565" s="366"/>
      <c r="D565" s="369"/>
      <c r="E565" s="368"/>
      <c r="F565" s="366"/>
      <c r="G565" s="366"/>
      <c r="H565" s="366"/>
      <c r="I565" s="366"/>
      <c r="J565" s="366"/>
      <c r="K565" s="366"/>
      <c r="L565" s="366"/>
    </row>
    <row r="566" spans="3:12" s="365" customFormat="1" ht="15.15" customHeight="1" x14ac:dyDescent="0.25">
      <c r="C566" s="366"/>
      <c r="D566" s="369"/>
      <c r="E566" s="368"/>
      <c r="F566" s="366"/>
      <c r="G566" s="366"/>
      <c r="H566" s="366"/>
      <c r="I566" s="366"/>
      <c r="J566" s="366"/>
      <c r="K566" s="366"/>
      <c r="L566" s="366"/>
    </row>
    <row r="567" spans="3:12" s="365" customFormat="1" ht="15.15" customHeight="1" x14ac:dyDescent="0.25">
      <c r="C567" s="366"/>
      <c r="D567" s="369"/>
      <c r="E567" s="368"/>
      <c r="F567" s="366"/>
      <c r="G567" s="366"/>
      <c r="H567" s="366"/>
      <c r="I567" s="366"/>
      <c r="J567" s="366"/>
      <c r="K567" s="366"/>
      <c r="L567" s="366"/>
    </row>
    <row r="568" spans="3:12" s="365" customFormat="1" ht="15.15" customHeight="1" x14ac:dyDescent="0.25">
      <c r="C568" s="366"/>
      <c r="D568" s="369"/>
      <c r="E568" s="368"/>
      <c r="F568" s="366"/>
      <c r="G568" s="366"/>
      <c r="H568" s="366"/>
      <c r="I568" s="366"/>
      <c r="J568" s="366"/>
      <c r="K568" s="366"/>
      <c r="L568" s="366"/>
    </row>
    <row r="569" spans="3:12" s="365" customFormat="1" ht="15.15" customHeight="1" x14ac:dyDescent="0.25">
      <c r="C569" s="366"/>
      <c r="D569" s="369"/>
      <c r="E569" s="368"/>
      <c r="F569" s="366"/>
      <c r="G569" s="366"/>
      <c r="H569" s="366"/>
      <c r="I569" s="366"/>
      <c r="J569" s="366"/>
      <c r="K569" s="366"/>
      <c r="L569" s="366"/>
    </row>
    <row r="570" spans="3:12" s="365" customFormat="1" ht="15.15" customHeight="1" x14ac:dyDescent="0.25">
      <c r="C570" s="366"/>
      <c r="D570" s="369"/>
      <c r="E570" s="368"/>
      <c r="F570" s="366"/>
      <c r="G570" s="366"/>
      <c r="H570" s="366"/>
      <c r="I570" s="366"/>
      <c r="J570" s="366"/>
      <c r="K570" s="366"/>
      <c r="L570" s="366"/>
    </row>
    <row r="571" spans="3:12" s="365" customFormat="1" ht="15.15" customHeight="1" x14ac:dyDescent="0.25">
      <c r="C571" s="366"/>
      <c r="D571" s="369"/>
      <c r="E571" s="368"/>
      <c r="F571" s="366"/>
      <c r="G571" s="366"/>
      <c r="H571" s="366"/>
      <c r="I571" s="366"/>
      <c r="J571" s="366"/>
      <c r="K571" s="366"/>
      <c r="L571" s="366"/>
    </row>
    <row r="572" spans="3:12" s="365" customFormat="1" ht="15.15" customHeight="1" x14ac:dyDescent="0.25">
      <c r="C572" s="366"/>
      <c r="D572" s="369"/>
      <c r="E572" s="368"/>
      <c r="F572" s="366"/>
      <c r="G572" s="366"/>
      <c r="H572" s="366"/>
      <c r="I572" s="366"/>
      <c r="J572" s="366"/>
      <c r="K572" s="366"/>
      <c r="L572" s="366"/>
    </row>
    <row r="573" spans="3:12" s="365" customFormat="1" ht="15.15" customHeight="1" x14ac:dyDescent="0.25">
      <c r="C573" s="366"/>
      <c r="D573" s="369"/>
      <c r="E573" s="368"/>
      <c r="F573" s="366"/>
      <c r="G573" s="366"/>
      <c r="H573" s="366"/>
      <c r="I573" s="366"/>
      <c r="J573" s="366"/>
      <c r="K573" s="366"/>
      <c r="L573" s="366"/>
    </row>
    <row r="574" spans="3:12" s="365" customFormat="1" ht="15.15" customHeight="1" x14ac:dyDescent="0.25">
      <c r="C574" s="366"/>
      <c r="D574" s="369"/>
      <c r="E574" s="368"/>
      <c r="F574" s="366"/>
      <c r="G574" s="366"/>
      <c r="H574" s="366"/>
      <c r="I574" s="366"/>
      <c r="J574" s="366"/>
      <c r="K574" s="366"/>
      <c r="L574" s="366"/>
    </row>
    <row r="575" spans="3:12" s="365" customFormat="1" ht="15.15" customHeight="1" x14ac:dyDescent="0.25">
      <c r="C575" s="366"/>
      <c r="D575" s="369"/>
      <c r="E575" s="368"/>
      <c r="F575" s="366"/>
      <c r="G575" s="366"/>
      <c r="H575" s="366"/>
      <c r="I575" s="366"/>
      <c r="J575" s="366"/>
      <c r="K575" s="366"/>
      <c r="L575" s="366"/>
    </row>
    <row r="576" spans="3:12" s="365" customFormat="1" ht="15.15" customHeight="1" x14ac:dyDescent="0.25">
      <c r="C576" s="366"/>
      <c r="D576" s="369"/>
      <c r="E576" s="368"/>
      <c r="F576" s="366"/>
      <c r="G576" s="366"/>
      <c r="H576" s="366"/>
      <c r="I576" s="366"/>
      <c r="J576" s="366"/>
      <c r="K576" s="366"/>
      <c r="L576" s="366"/>
    </row>
    <row r="577" spans="3:12" s="365" customFormat="1" ht="15.15" customHeight="1" x14ac:dyDescent="0.25">
      <c r="C577" s="366"/>
      <c r="D577" s="369"/>
      <c r="E577" s="368"/>
      <c r="F577" s="366"/>
      <c r="G577" s="366"/>
      <c r="H577" s="366"/>
      <c r="I577" s="366"/>
      <c r="J577" s="366"/>
      <c r="K577" s="366"/>
      <c r="L577" s="366"/>
    </row>
    <row r="578" spans="3:12" s="365" customFormat="1" ht="15.15" customHeight="1" x14ac:dyDescent="0.25">
      <c r="C578" s="366"/>
      <c r="D578" s="369"/>
      <c r="E578" s="368"/>
      <c r="F578" s="366"/>
      <c r="G578" s="366"/>
      <c r="H578" s="366"/>
      <c r="I578" s="366"/>
      <c r="J578" s="366"/>
      <c r="K578" s="366"/>
      <c r="L578" s="366"/>
    </row>
    <row r="579" spans="3:12" s="365" customFormat="1" ht="15.15" customHeight="1" x14ac:dyDescent="0.25">
      <c r="C579" s="366"/>
      <c r="D579" s="369"/>
      <c r="E579" s="368"/>
      <c r="F579" s="366"/>
      <c r="G579" s="366"/>
      <c r="H579" s="366"/>
      <c r="I579" s="366"/>
      <c r="J579" s="366"/>
      <c r="K579" s="366"/>
      <c r="L579" s="366"/>
    </row>
    <row r="580" spans="3:12" s="365" customFormat="1" ht="15.15" customHeight="1" x14ac:dyDescent="0.25">
      <c r="C580" s="366"/>
      <c r="D580" s="369"/>
      <c r="E580" s="368"/>
      <c r="F580" s="366"/>
      <c r="G580" s="366"/>
      <c r="H580" s="366"/>
      <c r="I580" s="366"/>
      <c r="J580" s="366"/>
      <c r="K580" s="366"/>
      <c r="L580" s="366"/>
    </row>
    <row r="581" spans="3:12" s="365" customFormat="1" ht="15.15" customHeight="1" x14ac:dyDescent="0.25">
      <c r="C581" s="366"/>
      <c r="D581" s="369"/>
      <c r="E581" s="368"/>
      <c r="F581" s="366"/>
      <c r="G581" s="366"/>
      <c r="H581" s="366"/>
      <c r="I581" s="366"/>
      <c r="J581" s="366"/>
      <c r="K581" s="366"/>
      <c r="L581" s="366"/>
    </row>
    <row r="582" spans="3:12" s="365" customFormat="1" ht="15.15" customHeight="1" x14ac:dyDescent="0.25">
      <c r="C582" s="366"/>
      <c r="D582" s="369"/>
      <c r="E582" s="368"/>
      <c r="F582" s="366"/>
      <c r="G582" s="366"/>
      <c r="H582" s="366"/>
      <c r="I582" s="366"/>
      <c r="J582" s="366"/>
      <c r="K582" s="366"/>
      <c r="L582" s="366"/>
    </row>
    <row r="583" spans="3:12" s="365" customFormat="1" ht="15.15" customHeight="1" x14ac:dyDescent="0.25">
      <c r="C583" s="366"/>
      <c r="D583" s="369"/>
      <c r="E583" s="368"/>
      <c r="F583" s="366"/>
      <c r="G583" s="366"/>
      <c r="H583" s="366"/>
      <c r="I583" s="366"/>
      <c r="J583" s="366"/>
      <c r="K583" s="366"/>
      <c r="L583" s="366"/>
    </row>
    <row r="584" spans="3:12" s="365" customFormat="1" ht="15.15" customHeight="1" x14ac:dyDescent="0.25">
      <c r="C584" s="366"/>
      <c r="D584" s="369"/>
      <c r="E584" s="368"/>
      <c r="F584" s="366"/>
      <c r="G584" s="366"/>
      <c r="H584" s="366"/>
      <c r="I584" s="366"/>
      <c r="J584" s="366"/>
      <c r="K584" s="366"/>
      <c r="L584" s="366"/>
    </row>
    <row r="585" spans="3:12" s="365" customFormat="1" ht="15.15" customHeight="1" x14ac:dyDescent="0.25">
      <c r="C585" s="366"/>
      <c r="D585" s="369"/>
      <c r="E585" s="368"/>
      <c r="F585" s="366"/>
      <c r="G585" s="366"/>
      <c r="H585" s="366"/>
      <c r="I585" s="366"/>
      <c r="J585" s="366"/>
      <c r="K585" s="366"/>
      <c r="L585" s="366"/>
    </row>
    <row r="586" spans="3:12" s="365" customFormat="1" ht="15.15" customHeight="1" x14ac:dyDescent="0.25">
      <c r="C586" s="366"/>
      <c r="D586" s="369"/>
      <c r="E586" s="368"/>
      <c r="F586" s="366"/>
      <c r="G586" s="366"/>
      <c r="H586" s="366"/>
      <c r="I586" s="366"/>
      <c r="J586" s="366"/>
      <c r="K586" s="366"/>
      <c r="L586" s="366"/>
    </row>
    <row r="587" spans="3:12" s="365" customFormat="1" ht="15.15" customHeight="1" x14ac:dyDescent="0.25">
      <c r="C587" s="366"/>
      <c r="D587" s="369"/>
      <c r="E587" s="368"/>
      <c r="F587" s="366"/>
      <c r="G587" s="366"/>
      <c r="H587" s="366"/>
      <c r="I587" s="366"/>
      <c r="J587" s="366"/>
      <c r="K587" s="366"/>
      <c r="L587" s="366"/>
    </row>
    <row r="588" spans="3:12" s="365" customFormat="1" ht="15.15" customHeight="1" x14ac:dyDescent="0.25">
      <c r="C588" s="366"/>
      <c r="D588" s="369"/>
      <c r="E588" s="368"/>
      <c r="F588" s="366"/>
      <c r="G588" s="366"/>
      <c r="H588" s="366"/>
      <c r="I588" s="366"/>
      <c r="J588" s="366"/>
      <c r="K588" s="366"/>
      <c r="L588" s="366"/>
    </row>
    <row r="589" spans="3:12" s="365" customFormat="1" ht="15.15" customHeight="1" x14ac:dyDescent="0.25">
      <c r="C589" s="366"/>
      <c r="D589" s="369"/>
      <c r="E589" s="368"/>
      <c r="F589" s="366"/>
      <c r="G589" s="366"/>
      <c r="H589" s="366"/>
      <c r="I589" s="366"/>
      <c r="J589" s="366"/>
      <c r="K589" s="366"/>
      <c r="L589" s="366"/>
    </row>
    <row r="590" spans="3:12" s="365" customFormat="1" ht="15.15" customHeight="1" x14ac:dyDescent="0.25">
      <c r="C590" s="366"/>
      <c r="D590" s="369"/>
      <c r="E590" s="368"/>
      <c r="F590" s="366"/>
      <c r="G590" s="366"/>
      <c r="H590" s="366"/>
      <c r="I590" s="366"/>
      <c r="J590" s="366"/>
      <c r="K590" s="366"/>
      <c r="L590" s="366"/>
    </row>
    <row r="591" spans="3:12" s="365" customFormat="1" ht="15.15" customHeight="1" x14ac:dyDescent="0.25">
      <c r="C591" s="366"/>
      <c r="D591" s="369"/>
      <c r="E591" s="368"/>
      <c r="F591" s="366"/>
      <c r="G591" s="366"/>
      <c r="H591" s="366"/>
      <c r="I591" s="366"/>
      <c r="J591" s="366"/>
      <c r="K591" s="366"/>
      <c r="L591" s="366"/>
    </row>
    <row r="592" spans="3:12" s="365" customFormat="1" ht="15.15" customHeight="1" x14ac:dyDescent="0.25">
      <c r="C592" s="366"/>
      <c r="D592" s="369"/>
      <c r="E592" s="368"/>
      <c r="F592" s="366"/>
      <c r="G592" s="366"/>
      <c r="H592" s="366"/>
      <c r="I592" s="366"/>
      <c r="J592" s="366"/>
      <c r="K592" s="366"/>
      <c r="L592" s="366"/>
    </row>
    <row r="593" spans="3:12" s="365" customFormat="1" ht="15.15" customHeight="1" x14ac:dyDescent="0.25">
      <c r="C593" s="366"/>
      <c r="D593" s="369"/>
      <c r="E593" s="368"/>
      <c r="F593" s="366"/>
      <c r="G593" s="366"/>
      <c r="H593" s="366"/>
      <c r="I593" s="366"/>
      <c r="J593" s="366"/>
      <c r="K593" s="366"/>
      <c r="L593" s="366"/>
    </row>
    <row r="594" spans="3:12" s="365" customFormat="1" ht="15.15" customHeight="1" x14ac:dyDescent="0.25">
      <c r="C594" s="366"/>
      <c r="D594" s="369"/>
      <c r="E594" s="368"/>
      <c r="F594" s="366"/>
      <c r="G594" s="366"/>
      <c r="H594" s="366"/>
      <c r="I594" s="366"/>
      <c r="J594" s="366"/>
      <c r="K594" s="366"/>
      <c r="L594" s="366"/>
    </row>
    <row r="595" spans="3:12" s="365" customFormat="1" ht="15.15" customHeight="1" x14ac:dyDescent="0.25">
      <c r="C595" s="366"/>
      <c r="D595" s="369"/>
      <c r="E595" s="368"/>
      <c r="F595" s="366"/>
      <c r="G595" s="366"/>
      <c r="H595" s="366"/>
      <c r="I595" s="366"/>
      <c r="J595" s="366"/>
      <c r="K595" s="366"/>
      <c r="L595" s="366"/>
    </row>
    <row r="596" spans="3:12" s="365" customFormat="1" ht="15.15" customHeight="1" x14ac:dyDescent="0.25">
      <c r="C596" s="366"/>
      <c r="D596" s="369"/>
      <c r="E596" s="368"/>
      <c r="F596" s="366"/>
      <c r="G596" s="366"/>
      <c r="H596" s="366"/>
      <c r="I596" s="366"/>
      <c r="J596" s="366"/>
      <c r="K596" s="366"/>
      <c r="L596" s="366"/>
    </row>
  </sheetData>
  <sheetProtection algorithmName="SHA-512" hashValue="hqEJ+RZmrXR83vjWtB3ONsr+ZVQt+XoMfzL4wVwM3MRZKuOOrEbQLi8stMaBBaW1aSa2cJ907RGnKyyo8q+S0w==" saltValue="ZSx55IVuculju+LLS4/Tbg==" spinCount="100000" sheet="1" objects="1" scenarios="1" selectLockedCells="1"/>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812C-4E4C-466C-8267-7FE8924E07ED}">
  <sheetPr codeName="Sheet36"/>
  <dimension ref="A1:B803"/>
  <sheetViews>
    <sheetView topLeftCell="A793" workbookViewId="0">
      <selection activeCell="B32" sqref="B32:D34"/>
    </sheetView>
  </sheetViews>
  <sheetFormatPr defaultRowHeight="14.4" x14ac:dyDescent="0.3"/>
  <cols>
    <col min="1" max="1" width="10.88671875" style="28" customWidth="1"/>
    <col min="2" max="2" width="34.5546875" style="28" customWidth="1"/>
  </cols>
  <sheetData>
    <row r="1" spans="1:2" ht="43.2" x14ac:dyDescent="0.3">
      <c r="A1" s="27" t="s">
        <v>431</v>
      </c>
      <c r="B1" s="27" t="s">
        <v>432</v>
      </c>
    </row>
    <row r="2" spans="1:2" x14ac:dyDescent="0.3">
      <c r="A2" s="28" t="s">
        <v>433</v>
      </c>
      <c r="B2" s="28" t="s">
        <v>434</v>
      </c>
    </row>
    <row r="3" spans="1:2" x14ac:dyDescent="0.3">
      <c r="A3" s="28" t="s">
        <v>435</v>
      </c>
      <c r="B3" s="28" t="s">
        <v>436</v>
      </c>
    </row>
    <row r="4" spans="1:2" x14ac:dyDescent="0.3">
      <c r="A4" s="28" t="s">
        <v>437</v>
      </c>
      <c r="B4" s="28" t="s">
        <v>438</v>
      </c>
    </row>
    <row r="5" spans="1:2" x14ac:dyDescent="0.3">
      <c r="A5" s="28" t="s">
        <v>439</v>
      </c>
      <c r="B5" s="28" t="s">
        <v>440</v>
      </c>
    </row>
    <row r="6" spans="1:2" x14ac:dyDescent="0.3">
      <c r="A6" s="28" t="s">
        <v>441</v>
      </c>
      <c r="B6" s="28" t="s">
        <v>442</v>
      </c>
    </row>
    <row r="7" spans="1:2" x14ac:dyDescent="0.3">
      <c r="A7" s="28" t="s">
        <v>443</v>
      </c>
      <c r="B7" s="28" t="s">
        <v>444</v>
      </c>
    </row>
    <row r="8" spans="1:2" x14ac:dyDescent="0.3">
      <c r="A8" s="28" t="s">
        <v>445</v>
      </c>
      <c r="B8" s="28" t="s">
        <v>446</v>
      </c>
    </row>
    <row r="9" spans="1:2" x14ac:dyDescent="0.3">
      <c r="A9" s="28" t="s">
        <v>447</v>
      </c>
      <c r="B9" s="28" t="s">
        <v>448</v>
      </c>
    </row>
    <row r="10" spans="1:2" x14ac:dyDescent="0.3">
      <c r="A10" s="28" t="s">
        <v>449</v>
      </c>
      <c r="B10" s="28" t="s">
        <v>450</v>
      </c>
    </row>
    <row r="11" spans="1:2" x14ac:dyDescent="0.3">
      <c r="A11" s="28" t="s">
        <v>451</v>
      </c>
      <c r="B11" s="28" t="s">
        <v>452</v>
      </c>
    </row>
    <row r="12" spans="1:2" x14ac:dyDescent="0.3">
      <c r="A12" s="28" t="s">
        <v>453</v>
      </c>
      <c r="B12" s="28" t="s">
        <v>454</v>
      </c>
    </row>
    <row r="13" spans="1:2" x14ac:dyDescent="0.3">
      <c r="A13" s="28" t="s">
        <v>455</v>
      </c>
      <c r="B13" s="28" t="s">
        <v>456</v>
      </c>
    </row>
    <row r="14" spans="1:2" x14ac:dyDescent="0.3">
      <c r="A14" s="28" t="s">
        <v>457</v>
      </c>
      <c r="B14" s="28" t="s">
        <v>458</v>
      </c>
    </row>
    <row r="15" spans="1:2" x14ac:dyDescent="0.3">
      <c r="A15" s="28" t="s">
        <v>459</v>
      </c>
      <c r="B15" s="28" t="s">
        <v>460</v>
      </c>
    </row>
    <row r="16" spans="1:2" x14ac:dyDescent="0.3">
      <c r="A16" s="28" t="s">
        <v>461</v>
      </c>
      <c r="B16" s="28" t="s">
        <v>462</v>
      </c>
    </row>
    <row r="17" spans="1:2" x14ac:dyDescent="0.3">
      <c r="A17" s="28" t="s">
        <v>463</v>
      </c>
      <c r="B17" s="28" t="s">
        <v>464</v>
      </c>
    </row>
    <row r="18" spans="1:2" x14ac:dyDescent="0.3">
      <c r="A18" s="28" t="s">
        <v>465</v>
      </c>
      <c r="B18" s="28" t="s">
        <v>466</v>
      </c>
    </row>
    <row r="19" spans="1:2" x14ac:dyDescent="0.3">
      <c r="A19" s="28" t="s">
        <v>467</v>
      </c>
      <c r="B19" s="28" t="s">
        <v>468</v>
      </c>
    </row>
    <row r="20" spans="1:2" x14ac:dyDescent="0.3">
      <c r="A20" s="28" t="s">
        <v>469</v>
      </c>
      <c r="B20" s="28" t="s">
        <v>470</v>
      </c>
    </row>
    <row r="21" spans="1:2" x14ac:dyDescent="0.3">
      <c r="A21" s="28" t="s">
        <v>471</v>
      </c>
      <c r="B21" s="28" t="s">
        <v>472</v>
      </c>
    </row>
    <row r="22" spans="1:2" x14ac:dyDescent="0.3">
      <c r="A22" s="28" t="s">
        <v>473</v>
      </c>
      <c r="B22" s="28" t="s">
        <v>474</v>
      </c>
    </row>
    <row r="23" spans="1:2" x14ac:dyDescent="0.3">
      <c r="A23" s="28" t="s">
        <v>475</v>
      </c>
      <c r="B23" s="28" t="s">
        <v>476</v>
      </c>
    </row>
    <row r="24" spans="1:2" x14ac:dyDescent="0.3">
      <c r="A24" s="28" t="s">
        <v>477</v>
      </c>
      <c r="B24" s="28" t="s">
        <v>478</v>
      </c>
    </row>
    <row r="25" spans="1:2" x14ac:dyDescent="0.3">
      <c r="A25" s="28" t="s">
        <v>479</v>
      </c>
      <c r="B25" s="28" t="s">
        <v>480</v>
      </c>
    </row>
    <row r="26" spans="1:2" x14ac:dyDescent="0.3">
      <c r="A26" s="28" t="s">
        <v>481</v>
      </c>
      <c r="B26" s="28" t="s">
        <v>482</v>
      </c>
    </row>
    <row r="27" spans="1:2" x14ac:dyDescent="0.3">
      <c r="A27" s="28" t="s">
        <v>483</v>
      </c>
      <c r="B27" s="28" t="s">
        <v>484</v>
      </c>
    </row>
    <row r="28" spans="1:2" x14ac:dyDescent="0.3">
      <c r="A28" s="28" t="s">
        <v>485</v>
      </c>
      <c r="B28" s="28" t="s">
        <v>486</v>
      </c>
    </row>
    <row r="29" spans="1:2" x14ac:dyDescent="0.3">
      <c r="A29" s="28" t="s">
        <v>487</v>
      </c>
      <c r="B29" s="28" t="s">
        <v>488</v>
      </c>
    </row>
    <row r="30" spans="1:2" x14ac:dyDescent="0.3">
      <c r="A30" s="28" t="s">
        <v>489</v>
      </c>
      <c r="B30" s="28" t="s">
        <v>490</v>
      </c>
    </row>
    <row r="31" spans="1:2" x14ac:dyDescent="0.3">
      <c r="A31" s="28" t="s">
        <v>491</v>
      </c>
      <c r="B31" s="28" t="s">
        <v>492</v>
      </c>
    </row>
    <row r="32" spans="1:2" x14ac:dyDescent="0.3">
      <c r="A32" s="28" t="s">
        <v>493</v>
      </c>
      <c r="B32" s="28" t="s">
        <v>494</v>
      </c>
    </row>
    <row r="33" spans="1:2" x14ac:dyDescent="0.3">
      <c r="A33" s="28" t="s">
        <v>495</v>
      </c>
      <c r="B33" s="28" t="s">
        <v>496</v>
      </c>
    </row>
    <row r="34" spans="1:2" x14ac:dyDescent="0.3">
      <c r="A34" s="28" t="s">
        <v>497</v>
      </c>
      <c r="B34" s="28" t="s">
        <v>498</v>
      </c>
    </row>
    <row r="35" spans="1:2" x14ac:dyDescent="0.3">
      <c r="A35" s="28" t="s">
        <v>499</v>
      </c>
      <c r="B35" s="28" t="s">
        <v>500</v>
      </c>
    </row>
    <row r="36" spans="1:2" x14ac:dyDescent="0.3">
      <c r="A36" s="28" t="s">
        <v>501</v>
      </c>
      <c r="B36" s="28" t="s">
        <v>502</v>
      </c>
    </row>
    <row r="37" spans="1:2" x14ac:dyDescent="0.3">
      <c r="A37" s="28" t="s">
        <v>503</v>
      </c>
      <c r="B37" s="28" t="s">
        <v>504</v>
      </c>
    </row>
    <row r="38" spans="1:2" x14ac:dyDescent="0.3">
      <c r="A38" s="28" t="s">
        <v>505</v>
      </c>
      <c r="B38" s="28" t="s">
        <v>506</v>
      </c>
    </row>
    <row r="39" spans="1:2" x14ac:dyDescent="0.3">
      <c r="A39" s="28" t="s">
        <v>507</v>
      </c>
      <c r="B39" s="28" t="s">
        <v>508</v>
      </c>
    </row>
    <row r="40" spans="1:2" x14ac:dyDescent="0.3">
      <c r="A40" s="28" t="s">
        <v>509</v>
      </c>
      <c r="B40" s="28" t="s">
        <v>510</v>
      </c>
    </row>
    <row r="41" spans="1:2" x14ac:dyDescent="0.3">
      <c r="A41" s="28" t="s">
        <v>511</v>
      </c>
      <c r="B41" s="28" t="s">
        <v>512</v>
      </c>
    </row>
    <row r="42" spans="1:2" x14ac:dyDescent="0.3">
      <c r="A42" s="28" t="s">
        <v>513</v>
      </c>
      <c r="B42" s="28" t="s">
        <v>514</v>
      </c>
    </row>
    <row r="43" spans="1:2" x14ac:dyDescent="0.3">
      <c r="A43" s="28" t="s">
        <v>515</v>
      </c>
      <c r="B43" s="28" t="s">
        <v>516</v>
      </c>
    </row>
    <row r="44" spans="1:2" x14ac:dyDescent="0.3">
      <c r="A44" s="28" t="s">
        <v>517</v>
      </c>
      <c r="B44" s="28" t="s">
        <v>518</v>
      </c>
    </row>
    <row r="45" spans="1:2" x14ac:dyDescent="0.3">
      <c r="A45" s="28" t="s">
        <v>519</v>
      </c>
      <c r="B45" s="28" t="s">
        <v>520</v>
      </c>
    </row>
    <row r="46" spans="1:2" x14ac:dyDescent="0.3">
      <c r="A46" s="28" t="s">
        <v>521</v>
      </c>
      <c r="B46" s="28" t="s">
        <v>522</v>
      </c>
    </row>
    <row r="47" spans="1:2" x14ac:dyDescent="0.3">
      <c r="A47" s="28" t="s">
        <v>523</v>
      </c>
      <c r="B47" s="28" t="s">
        <v>524</v>
      </c>
    </row>
    <row r="48" spans="1:2" x14ac:dyDescent="0.3">
      <c r="A48" s="28" t="s">
        <v>525</v>
      </c>
      <c r="B48" s="28" t="s">
        <v>526</v>
      </c>
    </row>
    <row r="49" spans="1:2" x14ac:dyDescent="0.3">
      <c r="A49" s="28" t="s">
        <v>527</v>
      </c>
      <c r="B49" s="28" t="s">
        <v>528</v>
      </c>
    </row>
    <row r="50" spans="1:2" x14ac:dyDescent="0.3">
      <c r="A50" s="28" t="s">
        <v>529</v>
      </c>
      <c r="B50" s="28" t="s">
        <v>530</v>
      </c>
    </row>
    <row r="51" spans="1:2" x14ac:dyDescent="0.3">
      <c r="A51" s="28" t="s">
        <v>531</v>
      </c>
      <c r="B51" s="28" t="s">
        <v>532</v>
      </c>
    </row>
    <row r="52" spans="1:2" x14ac:dyDescent="0.3">
      <c r="A52" s="28" t="s">
        <v>533</v>
      </c>
      <c r="B52" s="28" t="s">
        <v>534</v>
      </c>
    </row>
    <row r="53" spans="1:2" x14ac:dyDescent="0.3">
      <c r="A53" s="28" t="s">
        <v>535</v>
      </c>
      <c r="B53" s="28" t="s">
        <v>536</v>
      </c>
    </row>
    <row r="54" spans="1:2" x14ac:dyDescent="0.3">
      <c r="A54" s="28" t="s">
        <v>537</v>
      </c>
      <c r="B54" s="28" t="s">
        <v>538</v>
      </c>
    </row>
    <row r="55" spans="1:2" x14ac:dyDescent="0.3">
      <c r="A55" s="28" t="s">
        <v>539</v>
      </c>
      <c r="B55" s="28" t="s">
        <v>540</v>
      </c>
    </row>
    <row r="56" spans="1:2" x14ac:dyDescent="0.3">
      <c r="A56" s="28" t="s">
        <v>541</v>
      </c>
      <c r="B56" s="28" t="s">
        <v>542</v>
      </c>
    </row>
    <row r="57" spans="1:2" x14ac:dyDescent="0.3">
      <c r="A57" s="28" t="s">
        <v>543</v>
      </c>
      <c r="B57" s="28" t="s">
        <v>544</v>
      </c>
    </row>
    <row r="58" spans="1:2" x14ac:dyDescent="0.3">
      <c r="A58" s="28" t="s">
        <v>545</v>
      </c>
      <c r="B58" s="28" t="s">
        <v>546</v>
      </c>
    </row>
    <row r="59" spans="1:2" x14ac:dyDescent="0.3">
      <c r="A59" s="28" t="s">
        <v>547</v>
      </c>
      <c r="B59" s="28" t="s">
        <v>548</v>
      </c>
    </row>
    <row r="60" spans="1:2" x14ac:dyDescent="0.3">
      <c r="A60" s="28" t="s">
        <v>549</v>
      </c>
      <c r="B60" s="28" t="s">
        <v>550</v>
      </c>
    </row>
    <row r="61" spans="1:2" x14ac:dyDescent="0.3">
      <c r="A61" s="28" t="s">
        <v>551</v>
      </c>
      <c r="B61" s="28" t="s">
        <v>552</v>
      </c>
    </row>
    <row r="62" spans="1:2" x14ac:dyDescent="0.3">
      <c r="A62" s="28" t="s">
        <v>553</v>
      </c>
      <c r="B62" s="28" t="s">
        <v>554</v>
      </c>
    </row>
    <row r="63" spans="1:2" x14ac:dyDescent="0.3">
      <c r="A63" s="28" t="s">
        <v>555</v>
      </c>
      <c r="B63" s="28" t="s">
        <v>556</v>
      </c>
    </row>
    <row r="64" spans="1:2" x14ac:dyDescent="0.3">
      <c r="A64" s="28" t="s">
        <v>557</v>
      </c>
      <c r="B64" s="28" t="s">
        <v>558</v>
      </c>
    </row>
    <row r="65" spans="1:2" x14ac:dyDescent="0.3">
      <c r="A65" s="28" t="s">
        <v>559</v>
      </c>
      <c r="B65" s="28" t="s">
        <v>560</v>
      </c>
    </row>
    <row r="66" spans="1:2" x14ac:dyDescent="0.3">
      <c r="A66" s="28" t="s">
        <v>561</v>
      </c>
      <c r="B66" s="28" t="s">
        <v>562</v>
      </c>
    </row>
    <row r="67" spans="1:2" x14ac:dyDescent="0.3">
      <c r="A67" s="28" t="s">
        <v>563</v>
      </c>
      <c r="B67" s="28" t="s">
        <v>564</v>
      </c>
    </row>
    <row r="68" spans="1:2" x14ac:dyDescent="0.3">
      <c r="A68" s="28" t="s">
        <v>565</v>
      </c>
      <c r="B68" s="28" t="s">
        <v>566</v>
      </c>
    </row>
    <row r="69" spans="1:2" x14ac:dyDescent="0.3">
      <c r="A69" s="28" t="s">
        <v>567</v>
      </c>
      <c r="B69" s="28" t="s">
        <v>568</v>
      </c>
    </row>
    <row r="70" spans="1:2" x14ac:dyDescent="0.3">
      <c r="A70" s="28" t="s">
        <v>569</v>
      </c>
      <c r="B70" s="28" t="s">
        <v>570</v>
      </c>
    </row>
    <row r="71" spans="1:2" x14ac:dyDescent="0.3">
      <c r="A71" s="28" t="s">
        <v>571</v>
      </c>
      <c r="B71" s="28" t="s">
        <v>572</v>
      </c>
    </row>
    <row r="72" spans="1:2" x14ac:dyDescent="0.3">
      <c r="A72" s="28" t="s">
        <v>573</v>
      </c>
      <c r="B72" s="28" t="s">
        <v>574</v>
      </c>
    </row>
    <row r="73" spans="1:2" x14ac:dyDescent="0.3">
      <c r="A73" s="28" t="s">
        <v>575</v>
      </c>
      <c r="B73" s="28" t="s">
        <v>576</v>
      </c>
    </row>
    <row r="74" spans="1:2" x14ac:dyDescent="0.3">
      <c r="A74" s="28" t="s">
        <v>577</v>
      </c>
      <c r="B74" s="28" t="s">
        <v>578</v>
      </c>
    </row>
    <row r="75" spans="1:2" x14ac:dyDescent="0.3">
      <c r="A75" s="28" t="s">
        <v>579</v>
      </c>
      <c r="B75" s="28" t="s">
        <v>580</v>
      </c>
    </row>
    <row r="76" spans="1:2" x14ac:dyDescent="0.3">
      <c r="A76" s="28" t="s">
        <v>581</v>
      </c>
      <c r="B76" s="28" t="s">
        <v>582</v>
      </c>
    </row>
    <row r="77" spans="1:2" x14ac:dyDescent="0.3">
      <c r="A77" s="28" t="s">
        <v>583</v>
      </c>
      <c r="B77" s="28" t="s">
        <v>584</v>
      </c>
    </row>
    <row r="78" spans="1:2" x14ac:dyDescent="0.3">
      <c r="A78" s="28" t="s">
        <v>585</v>
      </c>
      <c r="B78" s="28" t="s">
        <v>586</v>
      </c>
    </row>
    <row r="79" spans="1:2" x14ac:dyDescent="0.3">
      <c r="A79" s="28" t="s">
        <v>587</v>
      </c>
      <c r="B79" s="28" t="s">
        <v>588</v>
      </c>
    </row>
    <row r="80" spans="1:2" x14ac:dyDescent="0.3">
      <c r="A80" s="28" t="s">
        <v>589</v>
      </c>
      <c r="B80" s="28" t="s">
        <v>590</v>
      </c>
    </row>
    <row r="81" spans="1:2" x14ac:dyDescent="0.3">
      <c r="A81" s="28" t="s">
        <v>591</v>
      </c>
      <c r="B81" s="28" t="s">
        <v>592</v>
      </c>
    </row>
    <row r="82" spans="1:2" x14ac:dyDescent="0.3">
      <c r="A82" s="28" t="s">
        <v>593</v>
      </c>
      <c r="B82" s="28" t="s">
        <v>594</v>
      </c>
    </row>
    <row r="83" spans="1:2" x14ac:dyDescent="0.3">
      <c r="A83" s="28" t="s">
        <v>595</v>
      </c>
      <c r="B83" s="28" t="s">
        <v>596</v>
      </c>
    </row>
    <row r="84" spans="1:2" x14ac:dyDescent="0.3">
      <c r="A84" s="28" t="s">
        <v>597</v>
      </c>
      <c r="B84" s="28" t="s">
        <v>598</v>
      </c>
    </row>
    <row r="85" spans="1:2" x14ac:dyDescent="0.3">
      <c r="A85" s="28" t="s">
        <v>599</v>
      </c>
      <c r="B85" s="28" t="s">
        <v>600</v>
      </c>
    </row>
    <row r="86" spans="1:2" x14ac:dyDescent="0.3">
      <c r="A86" s="28" t="s">
        <v>601</v>
      </c>
      <c r="B86" s="28" t="s">
        <v>602</v>
      </c>
    </row>
    <row r="87" spans="1:2" x14ac:dyDescent="0.3">
      <c r="A87" s="28" t="s">
        <v>603</v>
      </c>
      <c r="B87" s="28" t="s">
        <v>604</v>
      </c>
    </row>
    <row r="88" spans="1:2" x14ac:dyDescent="0.3">
      <c r="A88" s="28" t="s">
        <v>605</v>
      </c>
      <c r="B88" s="28" t="s">
        <v>606</v>
      </c>
    </row>
    <row r="89" spans="1:2" x14ac:dyDescent="0.3">
      <c r="A89" s="28" t="s">
        <v>607</v>
      </c>
      <c r="B89" s="28" t="s">
        <v>608</v>
      </c>
    </row>
    <row r="90" spans="1:2" x14ac:dyDescent="0.3">
      <c r="A90" s="28" t="s">
        <v>609</v>
      </c>
      <c r="B90" s="28" t="s">
        <v>610</v>
      </c>
    </row>
    <row r="91" spans="1:2" x14ac:dyDescent="0.3">
      <c r="A91" s="28" t="s">
        <v>611</v>
      </c>
      <c r="B91" s="28" t="s">
        <v>612</v>
      </c>
    </row>
    <row r="92" spans="1:2" x14ac:dyDescent="0.3">
      <c r="A92" s="28" t="s">
        <v>613</v>
      </c>
      <c r="B92" s="28" t="s">
        <v>614</v>
      </c>
    </row>
    <row r="93" spans="1:2" x14ac:dyDescent="0.3">
      <c r="A93" s="28" t="s">
        <v>615</v>
      </c>
      <c r="B93" s="28" t="s">
        <v>616</v>
      </c>
    </row>
    <row r="94" spans="1:2" x14ac:dyDescent="0.3">
      <c r="A94" s="28" t="s">
        <v>617</v>
      </c>
      <c r="B94" s="28" t="s">
        <v>618</v>
      </c>
    </row>
    <row r="95" spans="1:2" x14ac:dyDescent="0.3">
      <c r="A95" s="28" t="s">
        <v>619</v>
      </c>
      <c r="B95" s="28" t="s">
        <v>620</v>
      </c>
    </row>
    <row r="96" spans="1:2" x14ac:dyDescent="0.3">
      <c r="A96" s="28" t="s">
        <v>621</v>
      </c>
      <c r="B96" s="28" t="s">
        <v>622</v>
      </c>
    </row>
    <row r="97" spans="1:2" x14ac:dyDescent="0.3">
      <c r="A97" s="28" t="s">
        <v>623</v>
      </c>
      <c r="B97" s="28" t="s">
        <v>624</v>
      </c>
    </row>
    <row r="98" spans="1:2" x14ac:dyDescent="0.3">
      <c r="A98" s="28" t="s">
        <v>625</v>
      </c>
      <c r="B98" s="28" t="s">
        <v>626</v>
      </c>
    </row>
    <row r="99" spans="1:2" x14ac:dyDescent="0.3">
      <c r="A99" s="28" t="s">
        <v>627</v>
      </c>
      <c r="B99" s="28" t="s">
        <v>628</v>
      </c>
    </row>
    <row r="100" spans="1:2" x14ac:dyDescent="0.3">
      <c r="A100" s="28" t="s">
        <v>629</v>
      </c>
      <c r="B100" s="28" t="s">
        <v>630</v>
      </c>
    </row>
    <row r="101" spans="1:2" x14ac:dyDescent="0.3">
      <c r="A101" s="28" t="s">
        <v>631</v>
      </c>
      <c r="B101" s="28" t="s">
        <v>632</v>
      </c>
    </row>
    <row r="102" spans="1:2" x14ac:dyDescent="0.3">
      <c r="A102" s="28" t="s">
        <v>633</v>
      </c>
      <c r="B102" s="28" t="s">
        <v>634</v>
      </c>
    </row>
    <row r="103" spans="1:2" x14ac:dyDescent="0.3">
      <c r="A103" s="28" t="s">
        <v>635</v>
      </c>
      <c r="B103" s="28" t="s">
        <v>636</v>
      </c>
    </row>
    <row r="104" spans="1:2" x14ac:dyDescent="0.3">
      <c r="A104" s="28" t="s">
        <v>637</v>
      </c>
      <c r="B104" s="28" t="s">
        <v>638</v>
      </c>
    </row>
    <row r="105" spans="1:2" x14ac:dyDescent="0.3">
      <c r="A105" s="28" t="s">
        <v>639</v>
      </c>
      <c r="B105" s="28" t="s">
        <v>640</v>
      </c>
    </row>
    <row r="106" spans="1:2" x14ac:dyDescent="0.3">
      <c r="A106" s="28" t="s">
        <v>641</v>
      </c>
      <c r="B106" s="28" t="s">
        <v>642</v>
      </c>
    </row>
    <row r="107" spans="1:2" x14ac:dyDescent="0.3">
      <c r="A107" s="28" t="s">
        <v>643</v>
      </c>
      <c r="B107" s="28" t="s">
        <v>644</v>
      </c>
    </row>
    <row r="108" spans="1:2" x14ac:dyDescent="0.3">
      <c r="A108" s="28" t="s">
        <v>645</v>
      </c>
      <c r="B108" s="28" t="s">
        <v>646</v>
      </c>
    </row>
    <row r="109" spans="1:2" x14ac:dyDescent="0.3">
      <c r="A109" s="28" t="s">
        <v>647</v>
      </c>
      <c r="B109" s="28" t="s">
        <v>648</v>
      </c>
    </row>
    <row r="110" spans="1:2" x14ac:dyDescent="0.3">
      <c r="A110" s="28" t="s">
        <v>649</v>
      </c>
      <c r="B110" s="28" t="s">
        <v>650</v>
      </c>
    </row>
    <row r="111" spans="1:2" x14ac:dyDescent="0.3">
      <c r="A111" s="28" t="s">
        <v>651</v>
      </c>
      <c r="B111" s="28" t="s">
        <v>652</v>
      </c>
    </row>
    <row r="112" spans="1:2" x14ac:dyDescent="0.3">
      <c r="A112" s="28" t="s">
        <v>653</v>
      </c>
      <c r="B112" s="28" t="s">
        <v>654</v>
      </c>
    </row>
    <row r="113" spans="1:2" x14ac:dyDescent="0.3">
      <c r="A113" s="28" t="s">
        <v>655</v>
      </c>
      <c r="B113" s="28" t="s">
        <v>656</v>
      </c>
    </row>
    <row r="114" spans="1:2" x14ac:dyDescent="0.3">
      <c r="A114" s="28" t="s">
        <v>657</v>
      </c>
      <c r="B114" s="28" t="s">
        <v>658</v>
      </c>
    </row>
    <row r="115" spans="1:2" x14ac:dyDescent="0.3">
      <c r="A115" s="28" t="s">
        <v>659</v>
      </c>
      <c r="B115" s="28" t="s">
        <v>660</v>
      </c>
    </row>
    <row r="116" spans="1:2" x14ac:dyDescent="0.3">
      <c r="A116" s="28" t="s">
        <v>661</v>
      </c>
      <c r="B116" s="28" t="s">
        <v>662</v>
      </c>
    </row>
    <row r="117" spans="1:2" x14ac:dyDescent="0.3">
      <c r="A117" s="28" t="s">
        <v>663</v>
      </c>
      <c r="B117" s="28" t="s">
        <v>664</v>
      </c>
    </row>
    <row r="118" spans="1:2" x14ac:dyDescent="0.3">
      <c r="A118" s="28" t="s">
        <v>665</v>
      </c>
      <c r="B118" s="28" t="s">
        <v>666</v>
      </c>
    </row>
    <row r="119" spans="1:2" x14ac:dyDescent="0.3">
      <c r="A119" s="28" t="s">
        <v>667</v>
      </c>
      <c r="B119" s="28" t="s">
        <v>668</v>
      </c>
    </row>
    <row r="120" spans="1:2" x14ac:dyDescent="0.3">
      <c r="A120" s="28" t="s">
        <v>669</v>
      </c>
      <c r="B120" s="28" t="s">
        <v>670</v>
      </c>
    </row>
    <row r="121" spans="1:2" x14ac:dyDescent="0.3">
      <c r="A121" s="28" t="s">
        <v>671</v>
      </c>
      <c r="B121" s="28" t="s">
        <v>672</v>
      </c>
    </row>
    <row r="122" spans="1:2" x14ac:dyDescent="0.3">
      <c r="A122" s="28" t="s">
        <v>673</v>
      </c>
      <c r="B122" s="28" t="s">
        <v>674</v>
      </c>
    </row>
    <row r="123" spans="1:2" x14ac:dyDescent="0.3">
      <c r="A123" s="28" t="s">
        <v>675</v>
      </c>
      <c r="B123" s="28" t="s">
        <v>676</v>
      </c>
    </row>
    <row r="124" spans="1:2" x14ac:dyDescent="0.3">
      <c r="A124" s="28" t="s">
        <v>677</v>
      </c>
      <c r="B124" s="28" t="s">
        <v>678</v>
      </c>
    </row>
    <row r="125" spans="1:2" x14ac:dyDescent="0.3">
      <c r="A125" s="28" t="s">
        <v>679</v>
      </c>
      <c r="B125" s="28" t="s">
        <v>680</v>
      </c>
    </row>
    <row r="126" spans="1:2" x14ac:dyDescent="0.3">
      <c r="A126" s="28" t="s">
        <v>681</v>
      </c>
      <c r="B126" s="28" t="s">
        <v>682</v>
      </c>
    </row>
    <row r="127" spans="1:2" x14ac:dyDescent="0.3">
      <c r="A127" s="28" t="s">
        <v>683</v>
      </c>
      <c r="B127" s="28" t="s">
        <v>684</v>
      </c>
    </row>
    <row r="128" spans="1:2" x14ac:dyDescent="0.3">
      <c r="A128" s="28" t="s">
        <v>685</v>
      </c>
      <c r="B128" s="28" t="s">
        <v>686</v>
      </c>
    </row>
    <row r="129" spans="1:2" x14ac:dyDescent="0.3">
      <c r="A129" s="28" t="s">
        <v>687</v>
      </c>
      <c r="B129" s="28" t="s">
        <v>688</v>
      </c>
    </row>
    <row r="130" spans="1:2" x14ac:dyDescent="0.3">
      <c r="A130" s="28" t="s">
        <v>689</v>
      </c>
      <c r="B130" s="28" t="s">
        <v>690</v>
      </c>
    </row>
    <row r="131" spans="1:2" x14ac:dyDescent="0.3">
      <c r="A131" s="28" t="s">
        <v>691</v>
      </c>
      <c r="B131" s="28" t="s">
        <v>692</v>
      </c>
    </row>
    <row r="132" spans="1:2" x14ac:dyDescent="0.3">
      <c r="A132" s="28" t="s">
        <v>693</v>
      </c>
      <c r="B132" s="28" t="s">
        <v>670</v>
      </c>
    </row>
    <row r="133" spans="1:2" x14ac:dyDescent="0.3">
      <c r="A133" s="28" t="s">
        <v>694</v>
      </c>
      <c r="B133" s="28" t="s">
        <v>695</v>
      </c>
    </row>
    <row r="134" spans="1:2" x14ac:dyDescent="0.3">
      <c r="A134" s="28" t="s">
        <v>696</v>
      </c>
      <c r="B134" s="28" t="s">
        <v>697</v>
      </c>
    </row>
    <row r="135" spans="1:2" x14ac:dyDescent="0.3">
      <c r="A135" s="28" t="s">
        <v>698</v>
      </c>
      <c r="B135" s="28" t="s">
        <v>699</v>
      </c>
    </row>
    <row r="136" spans="1:2" x14ac:dyDescent="0.3">
      <c r="A136" s="28" t="s">
        <v>700</v>
      </c>
      <c r="B136" s="28" t="s">
        <v>701</v>
      </c>
    </row>
    <row r="137" spans="1:2" x14ac:dyDescent="0.3">
      <c r="A137" s="28" t="s">
        <v>702</v>
      </c>
      <c r="B137" s="28" t="s">
        <v>703</v>
      </c>
    </row>
    <row r="138" spans="1:2" x14ac:dyDescent="0.3">
      <c r="A138" s="28" t="s">
        <v>704</v>
      </c>
      <c r="B138" s="28" t="s">
        <v>705</v>
      </c>
    </row>
    <row r="139" spans="1:2" x14ac:dyDescent="0.3">
      <c r="A139" s="28" t="s">
        <v>706</v>
      </c>
      <c r="B139" s="28" t="s">
        <v>707</v>
      </c>
    </row>
    <row r="140" spans="1:2" x14ac:dyDescent="0.3">
      <c r="A140" s="28" t="s">
        <v>708</v>
      </c>
      <c r="B140" s="28" t="s">
        <v>709</v>
      </c>
    </row>
    <row r="141" spans="1:2" x14ac:dyDescent="0.3">
      <c r="A141" s="28" t="s">
        <v>710</v>
      </c>
      <c r="B141" s="28" t="s">
        <v>711</v>
      </c>
    </row>
    <row r="142" spans="1:2" x14ac:dyDescent="0.3">
      <c r="A142" s="28" t="s">
        <v>712</v>
      </c>
      <c r="B142" s="28" t="s">
        <v>713</v>
      </c>
    </row>
    <row r="143" spans="1:2" x14ac:dyDescent="0.3">
      <c r="A143" s="28" t="s">
        <v>714</v>
      </c>
      <c r="B143" s="28" t="s">
        <v>715</v>
      </c>
    </row>
    <row r="144" spans="1:2" x14ac:dyDescent="0.3">
      <c r="A144" s="28" t="s">
        <v>716</v>
      </c>
      <c r="B144" s="28" t="s">
        <v>717</v>
      </c>
    </row>
    <row r="145" spans="1:2" x14ac:dyDescent="0.3">
      <c r="A145" s="28" t="s">
        <v>718</v>
      </c>
      <c r="B145" s="28" t="s">
        <v>719</v>
      </c>
    </row>
    <row r="146" spans="1:2" x14ac:dyDescent="0.3">
      <c r="A146" s="28" t="s">
        <v>720</v>
      </c>
      <c r="B146" s="28" t="s">
        <v>721</v>
      </c>
    </row>
    <row r="147" spans="1:2" x14ac:dyDescent="0.3">
      <c r="A147" s="28" t="s">
        <v>722</v>
      </c>
      <c r="B147" s="28" t="s">
        <v>452</v>
      </c>
    </row>
    <row r="148" spans="1:2" x14ac:dyDescent="0.3">
      <c r="A148" s="28" t="s">
        <v>723</v>
      </c>
      <c r="B148" s="28" t="s">
        <v>724</v>
      </c>
    </row>
    <row r="149" spans="1:2" x14ac:dyDescent="0.3">
      <c r="A149" s="28" t="s">
        <v>725</v>
      </c>
      <c r="B149" s="28" t="s">
        <v>726</v>
      </c>
    </row>
    <row r="150" spans="1:2" x14ac:dyDescent="0.3">
      <c r="A150" s="28" t="s">
        <v>727</v>
      </c>
      <c r="B150" s="28" t="s">
        <v>728</v>
      </c>
    </row>
    <row r="151" spans="1:2" x14ac:dyDescent="0.3">
      <c r="A151" s="28" t="s">
        <v>729</v>
      </c>
      <c r="B151" s="28" t="s">
        <v>730</v>
      </c>
    </row>
    <row r="152" spans="1:2" x14ac:dyDescent="0.3">
      <c r="A152" s="28" t="s">
        <v>731</v>
      </c>
      <c r="B152" s="28" t="s">
        <v>732</v>
      </c>
    </row>
    <row r="153" spans="1:2" x14ac:dyDescent="0.3">
      <c r="A153" s="28" t="s">
        <v>733</v>
      </c>
      <c r="B153" s="28" t="s">
        <v>734</v>
      </c>
    </row>
    <row r="154" spans="1:2" x14ac:dyDescent="0.3">
      <c r="A154" s="28" t="s">
        <v>735</v>
      </c>
      <c r="B154" s="28" t="s">
        <v>736</v>
      </c>
    </row>
    <row r="155" spans="1:2" x14ac:dyDescent="0.3">
      <c r="A155" s="28" t="s">
        <v>737</v>
      </c>
      <c r="B155" s="28" t="s">
        <v>738</v>
      </c>
    </row>
    <row r="156" spans="1:2" x14ac:dyDescent="0.3">
      <c r="A156" s="28" t="s">
        <v>739</v>
      </c>
      <c r="B156" s="28" t="s">
        <v>740</v>
      </c>
    </row>
    <row r="157" spans="1:2" x14ac:dyDescent="0.3">
      <c r="A157" s="28" t="s">
        <v>741</v>
      </c>
      <c r="B157" s="28" t="s">
        <v>742</v>
      </c>
    </row>
    <row r="158" spans="1:2" x14ac:dyDescent="0.3">
      <c r="A158" s="28" t="s">
        <v>743</v>
      </c>
      <c r="B158" s="28" t="s">
        <v>744</v>
      </c>
    </row>
    <row r="159" spans="1:2" x14ac:dyDescent="0.3">
      <c r="A159" s="28" t="s">
        <v>745</v>
      </c>
      <c r="B159" s="28" t="s">
        <v>746</v>
      </c>
    </row>
    <row r="160" spans="1:2" x14ac:dyDescent="0.3">
      <c r="A160" s="28" t="s">
        <v>747</v>
      </c>
      <c r="B160" s="28" t="s">
        <v>748</v>
      </c>
    </row>
    <row r="161" spans="1:2" x14ac:dyDescent="0.3">
      <c r="A161" s="28" t="s">
        <v>749</v>
      </c>
      <c r="B161" s="28" t="s">
        <v>750</v>
      </c>
    </row>
    <row r="162" spans="1:2" x14ac:dyDescent="0.3">
      <c r="A162" s="28" t="s">
        <v>751</v>
      </c>
      <c r="B162" s="28" t="s">
        <v>752</v>
      </c>
    </row>
    <row r="163" spans="1:2" x14ac:dyDescent="0.3">
      <c r="A163" s="28" t="s">
        <v>753</v>
      </c>
      <c r="B163" s="28" t="s">
        <v>754</v>
      </c>
    </row>
    <row r="164" spans="1:2" x14ac:dyDescent="0.3">
      <c r="A164" s="28" t="s">
        <v>755</v>
      </c>
      <c r="B164" s="28" t="s">
        <v>756</v>
      </c>
    </row>
    <row r="165" spans="1:2" x14ac:dyDescent="0.3">
      <c r="A165" s="28" t="s">
        <v>757</v>
      </c>
      <c r="B165" s="28" t="s">
        <v>758</v>
      </c>
    </row>
    <row r="166" spans="1:2" x14ac:dyDescent="0.3">
      <c r="A166" s="28" t="s">
        <v>759</v>
      </c>
      <c r="B166" s="28" t="s">
        <v>482</v>
      </c>
    </row>
    <row r="167" spans="1:2" x14ac:dyDescent="0.3">
      <c r="A167" s="28" t="s">
        <v>760</v>
      </c>
      <c r="B167" s="28" t="s">
        <v>761</v>
      </c>
    </row>
    <row r="168" spans="1:2" x14ac:dyDescent="0.3">
      <c r="A168" s="28" t="s">
        <v>762</v>
      </c>
      <c r="B168" s="28" t="s">
        <v>763</v>
      </c>
    </row>
    <row r="169" spans="1:2" x14ac:dyDescent="0.3">
      <c r="A169" s="28" t="s">
        <v>764</v>
      </c>
      <c r="B169" s="28" t="s">
        <v>765</v>
      </c>
    </row>
    <row r="170" spans="1:2" x14ac:dyDescent="0.3">
      <c r="A170" s="28" t="s">
        <v>766</v>
      </c>
      <c r="B170" s="28" t="s">
        <v>752</v>
      </c>
    </row>
    <row r="171" spans="1:2" x14ac:dyDescent="0.3">
      <c r="A171" s="28" t="s">
        <v>767</v>
      </c>
      <c r="B171" s="28" t="s">
        <v>750</v>
      </c>
    </row>
    <row r="172" spans="1:2" x14ac:dyDescent="0.3">
      <c r="A172" s="28" t="s">
        <v>768</v>
      </c>
      <c r="B172" s="28" t="s">
        <v>769</v>
      </c>
    </row>
    <row r="173" spans="1:2" x14ac:dyDescent="0.3">
      <c r="A173" s="28" t="s">
        <v>770</v>
      </c>
      <c r="B173" s="28" t="s">
        <v>771</v>
      </c>
    </row>
    <row r="174" spans="1:2" x14ac:dyDescent="0.3">
      <c r="A174" s="28" t="s">
        <v>772</v>
      </c>
      <c r="B174" s="28" t="s">
        <v>773</v>
      </c>
    </row>
    <row r="175" spans="1:2" x14ac:dyDescent="0.3">
      <c r="A175" s="28" t="s">
        <v>774</v>
      </c>
      <c r="B175" s="28" t="s">
        <v>775</v>
      </c>
    </row>
    <row r="176" spans="1:2" x14ac:dyDescent="0.3">
      <c r="A176" s="28" t="s">
        <v>776</v>
      </c>
      <c r="B176" s="28" t="s">
        <v>777</v>
      </c>
    </row>
    <row r="177" spans="1:2" x14ac:dyDescent="0.3">
      <c r="A177" s="28" t="s">
        <v>778</v>
      </c>
      <c r="B177" s="28" t="s">
        <v>779</v>
      </c>
    </row>
    <row r="178" spans="1:2" x14ac:dyDescent="0.3">
      <c r="A178" s="28" t="s">
        <v>780</v>
      </c>
      <c r="B178" s="28" t="s">
        <v>494</v>
      </c>
    </row>
    <row r="179" spans="1:2" x14ac:dyDescent="0.3">
      <c r="A179" s="28" t="s">
        <v>781</v>
      </c>
      <c r="B179" s="28" t="s">
        <v>782</v>
      </c>
    </row>
    <row r="180" spans="1:2" x14ac:dyDescent="0.3">
      <c r="A180" s="28" t="s">
        <v>783</v>
      </c>
      <c r="B180" s="28" t="s">
        <v>784</v>
      </c>
    </row>
    <row r="181" spans="1:2" x14ac:dyDescent="0.3">
      <c r="A181" s="28" t="s">
        <v>785</v>
      </c>
      <c r="B181" s="28" t="s">
        <v>786</v>
      </c>
    </row>
    <row r="182" spans="1:2" x14ac:dyDescent="0.3">
      <c r="A182" s="28" t="s">
        <v>787</v>
      </c>
      <c r="B182" s="28" t="s">
        <v>788</v>
      </c>
    </row>
    <row r="183" spans="1:2" x14ac:dyDescent="0.3">
      <c r="A183" s="28" t="s">
        <v>789</v>
      </c>
      <c r="B183" s="28" t="s">
        <v>790</v>
      </c>
    </row>
    <row r="184" spans="1:2" x14ac:dyDescent="0.3">
      <c r="A184" s="28" t="s">
        <v>791</v>
      </c>
      <c r="B184" s="28" t="s">
        <v>792</v>
      </c>
    </row>
    <row r="185" spans="1:2" x14ac:dyDescent="0.3">
      <c r="A185" s="28" t="s">
        <v>793</v>
      </c>
      <c r="B185" s="28" t="s">
        <v>794</v>
      </c>
    </row>
    <row r="186" spans="1:2" x14ac:dyDescent="0.3">
      <c r="A186" s="28" t="s">
        <v>795</v>
      </c>
      <c r="B186" s="28" t="s">
        <v>796</v>
      </c>
    </row>
    <row r="187" spans="1:2" x14ac:dyDescent="0.3">
      <c r="A187" s="28" t="s">
        <v>797</v>
      </c>
      <c r="B187" s="28" t="s">
        <v>798</v>
      </c>
    </row>
    <row r="188" spans="1:2" x14ac:dyDescent="0.3">
      <c r="A188" s="28" t="s">
        <v>799</v>
      </c>
      <c r="B188" s="28" t="s">
        <v>800</v>
      </c>
    </row>
    <row r="189" spans="1:2" x14ac:dyDescent="0.3">
      <c r="A189" s="28" t="s">
        <v>801</v>
      </c>
      <c r="B189" s="28" t="s">
        <v>802</v>
      </c>
    </row>
    <row r="190" spans="1:2" x14ac:dyDescent="0.3">
      <c r="A190" s="28" t="s">
        <v>803</v>
      </c>
      <c r="B190" s="28" t="s">
        <v>804</v>
      </c>
    </row>
    <row r="191" spans="1:2" x14ac:dyDescent="0.3">
      <c r="A191" s="28" t="s">
        <v>805</v>
      </c>
      <c r="B191" s="28" t="s">
        <v>806</v>
      </c>
    </row>
    <row r="192" spans="1:2" x14ac:dyDescent="0.3">
      <c r="A192" s="28" t="s">
        <v>807</v>
      </c>
      <c r="B192" s="28" t="s">
        <v>808</v>
      </c>
    </row>
    <row r="193" spans="1:2" x14ac:dyDescent="0.3">
      <c r="A193" s="28" t="s">
        <v>809</v>
      </c>
      <c r="B193" s="28" t="s">
        <v>810</v>
      </c>
    </row>
    <row r="194" spans="1:2" x14ac:dyDescent="0.3">
      <c r="A194" s="28" t="s">
        <v>811</v>
      </c>
      <c r="B194" s="28" t="s">
        <v>812</v>
      </c>
    </row>
    <row r="195" spans="1:2" x14ac:dyDescent="0.3">
      <c r="A195" s="28" t="s">
        <v>813</v>
      </c>
      <c r="B195" s="28" t="s">
        <v>814</v>
      </c>
    </row>
    <row r="196" spans="1:2" x14ac:dyDescent="0.3">
      <c r="A196" s="28" t="s">
        <v>815</v>
      </c>
      <c r="B196" s="28" t="s">
        <v>816</v>
      </c>
    </row>
    <row r="197" spans="1:2" x14ac:dyDescent="0.3">
      <c r="A197" s="28" t="s">
        <v>817</v>
      </c>
      <c r="B197" s="28" t="s">
        <v>818</v>
      </c>
    </row>
    <row r="198" spans="1:2" x14ac:dyDescent="0.3">
      <c r="A198" s="28" t="s">
        <v>819</v>
      </c>
      <c r="B198" s="28" t="s">
        <v>820</v>
      </c>
    </row>
    <row r="199" spans="1:2" x14ac:dyDescent="0.3">
      <c r="A199" s="28" t="s">
        <v>821</v>
      </c>
      <c r="B199" s="28" t="s">
        <v>822</v>
      </c>
    </row>
    <row r="200" spans="1:2" x14ac:dyDescent="0.3">
      <c r="A200" s="28" t="s">
        <v>823</v>
      </c>
      <c r="B200" s="28" t="s">
        <v>824</v>
      </c>
    </row>
    <row r="201" spans="1:2" x14ac:dyDescent="0.3">
      <c r="A201" s="28" t="s">
        <v>825</v>
      </c>
      <c r="B201" s="28" t="s">
        <v>826</v>
      </c>
    </row>
    <row r="202" spans="1:2" x14ac:dyDescent="0.3">
      <c r="A202" s="28" t="s">
        <v>827</v>
      </c>
      <c r="B202" s="28" t="s">
        <v>828</v>
      </c>
    </row>
    <row r="203" spans="1:2" x14ac:dyDescent="0.3">
      <c r="A203" s="28" t="s">
        <v>829</v>
      </c>
      <c r="B203" s="28" t="s">
        <v>830</v>
      </c>
    </row>
    <row r="204" spans="1:2" x14ac:dyDescent="0.3">
      <c r="A204" s="28" t="s">
        <v>831</v>
      </c>
      <c r="B204" s="28" t="s">
        <v>832</v>
      </c>
    </row>
    <row r="205" spans="1:2" x14ac:dyDescent="0.3">
      <c r="A205" s="28" t="s">
        <v>833</v>
      </c>
      <c r="B205" s="28" t="s">
        <v>834</v>
      </c>
    </row>
    <row r="206" spans="1:2" x14ac:dyDescent="0.3">
      <c r="A206" s="28" t="s">
        <v>835</v>
      </c>
      <c r="B206" s="28" t="s">
        <v>836</v>
      </c>
    </row>
    <row r="207" spans="1:2" x14ac:dyDescent="0.3">
      <c r="A207" s="28" t="s">
        <v>837</v>
      </c>
      <c r="B207" s="28" t="s">
        <v>838</v>
      </c>
    </row>
    <row r="208" spans="1:2" x14ac:dyDescent="0.3">
      <c r="A208" s="28" t="s">
        <v>839</v>
      </c>
      <c r="B208" s="28" t="s">
        <v>840</v>
      </c>
    </row>
    <row r="209" spans="1:2" x14ac:dyDescent="0.3">
      <c r="A209" s="28" t="s">
        <v>841</v>
      </c>
      <c r="B209" s="28" t="s">
        <v>842</v>
      </c>
    </row>
    <row r="210" spans="1:2" x14ac:dyDescent="0.3">
      <c r="A210" s="28" t="s">
        <v>843</v>
      </c>
      <c r="B210" s="28" t="s">
        <v>844</v>
      </c>
    </row>
    <row r="211" spans="1:2" x14ac:dyDescent="0.3">
      <c r="A211" s="28" t="s">
        <v>845</v>
      </c>
      <c r="B211" s="28" t="s">
        <v>846</v>
      </c>
    </row>
    <row r="212" spans="1:2" x14ac:dyDescent="0.3">
      <c r="A212" s="28" t="s">
        <v>847</v>
      </c>
      <c r="B212" s="28" t="s">
        <v>848</v>
      </c>
    </row>
    <row r="213" spans="1:2" x14ac:dyDescent="0.3">
      <c r="A213" s="28" t="s">
        <v>849</v>
      </c>
      <c r="B213" s="28" t="s">
        <v>850</v>
      </c>
    </row>
    <row r="214" spans="1:2" x14ac:dyDescent="0.3">
      <c r="A214" s="28" t="s">
        <v>851</v>
      </c>
      <c r="B214" s="28" t="s">
        <v>852</v>
      </c>
    </row>
    <row r="215" spans="1:2" x14ac:dyDescent="0.3">
      <c r="A215" s="28" t="s">
        <v>853</v>
      </c>
      <c r="B215" s="28" t="s">
        <v>854</v>
      </c>
    </row>
    <row r="216" spans="1:2" x14ac:dyDescent="0.3">
      <c r="A216" s="28" t="s">
        <v>855</v>
      </c>
      <c r="B216" s="28" t="s">
        <v>856</v>
      </c>
    </row>
    <row r="217" spans="1:2" x14ac:dyDescent="0.3">
      <c r="A217" s="28" t="s">
        <v>857</v>
      </c>
      <c r="B217" s="28" t="s">
        <v>858</v>
      </c>
    </row>
    <row r="218" spans="1:2" x14ac:dyDescent="0.3">
      <c r="A218" s="28" t="s">
        <v>859</v>
      </c>
      <c r="B218" s="28" t="s">
        <v>860</v>
      </c>
    </row>
    <row r="219" spans="1:2" x14ac:dyDescent="0.3">
      <c r="A219" s="28" t="s">
        <v>861</v>
      </c>
      <c r="B219" s="28" t="s">
        <v>862</v>
      </c>
    </row>
    <row r="220" spans="1:2" x14ac:dyDescent="0.3">
      <c r="A220" s="28" t="s">
        <v>863</v>
      </c>
      <c r="B220" s="28" t="s">
        <v>864</v>
      </c>
    </row>
    <row r="221" spans="1:2" x14ac:dyDescent="0.3">
      <c r="A221" s="28" t="s">
        <v>865</v>
      </c>
      <c r="B221" s="28" t="s">
        <v>866</v>
      </c>
    </row>
    <row r="222" spans="1:2" x14ac:dyDescent="0.3">
      <c r="A222" s="28" t="s">
        <v>867</v>
      </c>
      <c r="B222" s="28" t="s">
        <v>868</v>
      </c>
    </row>
    <row r="223" spans="1:2" x14ac:dyDescent="0.3">
      <c r="A223" s="28" t="s">
        <v>869</v>
      </c>
      <c r="B223" s="28" t="s">
        <v>870</v>
      </c>
    </row>
    <row r="224" spans="1:2" x14ac:dyDescent="0.3">
      <c r="A224" s="28" t="s">
        <v>871</v>
      </c>
      <c r="B224" s="28" t="s">
        <v>872</v>
      </c>
    </row>
    <row r="225" spans="1:2" x14ac:dyDescent="0.3">
      <c r="A225" s="28" t="s">
        <v>873</v>
      </c>
      <c r="B225" s="28" t="s">
        <v>874</v>
      </c>
    </row>
    <row r="226" spans="1:2" x14ac:dyDescent="0.3">
      <c r="A226" s="28" t="s">
        <v>875</v>
      </c>
      <c r="B226" s="28" t="s">
        <v>876</v>
      </c>
    </row>
    <row r="227" spans="1:2" x14ac:dyDescent="0.3">
      <c r="A227" s="28" t="s">
        <v>877</v>
      </c>
      <c r="B227" s="28" t="s">
        <v>878</v>
      </c>
    </row>
    <row r="228" spans="1:2" x14ac:dyDescent="0.3">
      <c r="A228" s="28" t="s">
        <v>879</v>
      </c>
      <c r="B228" s="28" t="s">
        <v>880</v>
      </c>
    </row>
    <row r="229" spans="1:2" x14ac:dyDescent="0.3">
      <c r="A229" s="28" t="s">
        <v>881</v>
      </c>
      <c r="B229" s="28" t="s">
        <v>882</v>
      </c>
    </row>
    <row r="230" spans="1:2" x14ac:dyDescent="0.3">
      <c r="A230" s="28" t="s">
        <v>883</v>
      </c>
      <c r="B230" s="28" t="s">
        <v>884</v>
      </c>
    </row>
    <row r="231" spans="1:2" x14ac:dyDescent="0.3">
      <c r="A231" s="28" t="s">
        <v>885</v>
      </c>
      <c r="B231" s="28" t="s">
        <v>886</v>
      </c>
    </row>
    <row r="232" spans="1:2" x14ac:dyDescent="0.3">
      <c r="A232" s="28" t="s">
        <v>887</v>
      </c>
      <c r="B232" s="28" t="s">
        <v>888</v>
      </c>
    </row>
    <row r="233" spans="1:2" x14ac:dyDescent="0.3">
      <c r="A233" s="28" t="s">
        <v>889</v>
      </c>
      <c r="B233" s="28" t="s">
        <v>890</v>
      </c>
    </row>
    <row r="234" spans="1:2" x14ac:dyDescent="0.3">
      <c r="A234" s="28" t="s">
        <v>891</v>
      </c>
      <c r="B234" s="28" t="s">
        <v>892</v>
      </c>
    </row>
    <row r="235" spans="1:2" x14ac:dyDescent="0.3">
      <c r="A235" s="28" t="s">
        <v>893</v>
      </c>
      <c r="B235" s="28" t="s">
        <v>894</v>
      </c>
    </row>
    <row r="236" spans="1:2" x14ac:dyDescent="0.3">
      <c r="A236" s="28" t="s">
        <v>895</v>
      </c>
      <c r="B236" s="28" t="s">
        <v>896</v>
      </c>
    </row>
    <row r="237" spans="1:2" x14ac:dyDescent="0.3">
      <c r="A237" s="28" t="s">
        <v>897</v>
      </c>
      <c r="B237" s="28" t="s">
        <v>898</v>
      </c>
    </row>
    <row r="238" spans="1:2" x14ac:dyDescent="0.3">
      <c r="A238" s="28" t="s">
        <v>899</v>
      </c>
      <c r="B238" s="28" t="s">
        <v>900</v>
      </c>
    </row>
    <row r="239" spans="1:2" x14ac:dyDescent="0.3">
      <c r="A239" s="28" t="s">
        <v>901</v>
      </c>
      <c r="B239" s="28" t="s">
        <v>902</v>
      </c>
    </row>
    <row r="240" spans="1:2" x14ac:dyDescent="0.3">
      <c r="A240" s="28" t="s">
        <v>903</v>
      </c>
      <c r="B240" s="28" t="s">
        <v>904</v>
      </c>
    </row>
    <row r="241" spans="1:2" x14ac:dyDescent="0.3">
      <c r="A241" s="28" t="s">
        <v>905</v>
      </c>
      <c r="B241" s="28" t="s">
        <v>906</v>
      </c>
    </row>
    <row r="242" spans="1:2" x14ac:dyDescent="0.3">
      <c r="A242" s="28" t="s">
        <v>907</v>
      </c>
      <c r="B242" s="28" t="s">
        <v>908</v>
      </c>
    </row>
    <row r="243" spans="1:2" x14ac:dyDescent="0.3">
      <c r="A243" s="28" t="s">
        <v>909</v>
      </c>
      <c r="B243" s="28" t="s">
        <v>910</v>
      </c>
    </row>
    <row r="244" spans="1:2" x14ac:dyDescent="0.3">
      <c r="A244" s="28" t="s">
        <v>911</v>
      </c>
      <c r="B244" s="28" t="s">
        <v>912</v>
      </c>
    </row>
    <row r="245" spans="1:2" x14ac:dyDescent="0.3">
      <c r="A245" s="28" t="s">
        <v>913</v>
      </c>
      <c r="B245" s="28" t="s">
        <v>914</v>
      </c>
    </row>
    <row r="246" spans="1:2" x14ac:dyDescent="0.3">
      <c r="A246" s="28" t="s">
        <v>915</v>
      </c>
      <c r="B246" s="28" t="s">
        <v>916</v>
      </c>
    </row>
    <row r="247" spans="1:2" x14ac:dyDescent="0.3">
      <c r="A247" s="28" t="s">
        <v>917</v>
      </c>
      <c r="B247" s="28" t="s">
        <v>918</v>
      </c>
    </row>
    <row r="248" spans="1:2" x14ac:dyDescent="0.3">
      <c r="A248" s="28" t="s">
        <v>919</v>
      </c>
      <c r="B248" s="28" t="s">
        <v>920</v>
      </c>
    </row>
    <row r="249" spans="1:2" x14ac:dyDescent="0.3">
      <c r="A249" s="28" t="s">
        <v>921</v>
      </c>
      <c r="B249" s="28" t="s">
        <v>922</v>
      </c>
    </row>
    <row r="250" spans="1:2" x14ac:dyDescent="0.3">
      <c r="A250" s="28" t="s">
        <v>923</v>
      </c>
      <c r="B250" s="28" t="s">
        <v>924</v>
      </c>
    </row>
    <row r="251" spans="1:2" x14ac:dyDescent="0.3">
      <c r="A251" s="28" t="s">
        <v>925</v>
      </c>
      <c r="B251" s="28" t="s">
        <v>926</v>
      </c>
    </row>
    <row r="252" spans="1:2" x14ac:dyDescent="0.3">
      <c r="A252" s="28" t="s">
        <v>927</v>
      </c>
      <c r="B252" s="28" t="s">
        <v>928</v>
      </c>
    </row>
    <row r="253" spans="1:2" x14ac:dyDescent="0.3">
      <c r="A253" s="28" t="s">
        <v>929</v>
      </c>
      <c r="B253" s="28" t="s">
        <v>930</v>
      </c>
    </row>
    <row r="254" spans="1:2" x14ac:dyDescent="0.3">
      <c r="A254" s="28" t="s">
        <v>931</v>
      </c>
      <c r="B254" s="28" t="s">
        <v>932</v>
      </c>
    </row>
    <row r="255" spans="1:2" x14ac:dyDescent="0.3">
      <c r="A255" s="28" t="s">
        <v>933</v>
      </c>
      <c r="B255" s="28" t="s">
        <v>934</v>
      </c>
    </row>
    <row r="256" spans="1:2" x14ac:dyDescent="0.3">
      <c r="A256" s="28" t="s">
        <v>935</v>
      </c>
      <c r="B256" s="28" t="s">
        <v>936</v>
      </c>
    </row>
    <row r="257" spans="1:2" x14ac:dyDescent="0.3">
      <c r="A257" s="28" t="s">
        <v>937</v>
      </c>
      <c r="B257" s="28" t="s">
        <v>938</v>
      </c>
    </row>
    <row r="258" spans="1:2" x14ac:dyDescent="0.3">
      <c r="A258" s="28" t="s">
        <v>939</v>
      </c>
      <c r="B258" s="28" t="s">
        <v>940</v>
      </c>
    </row>
    <row r="259" spans="1:2" x14ac:dyDescent="0.3">
      <c r="A259" s="28" t="s">
        <v>941</v>
      </c>
      <c r="B259" s="28" t="s">
        <v>942</v>
      </c>
    </row>
    <row r="260" spans="1:2" x14ac:dyDescent="0.3">
      <c r="A260" s="28" t="s">
        <v>943</v>
      </c>
      <c r="B260" s="28" t="s">
        <v>944</v>
      </c>
    </row>
    <row r="261" spans="1:2" x14ac:dyDescent="0.3">
      <c r="A261" s="28" t="s">
        <v>945</v>
      </c>
      <c r="B261" s="28" t="s">
        <v>946</v>
      </c>
    </row>
    <row r="262" spans="1:2" x14ac:dyDescent="0.3">
      <c r="A262" s="28" t="s">
        <v>947</v>
      </c>
      <c r="B262" s="28" t="s">
        <v>948</v>
      </c>
    </row>
    <row r="263" spans="1:2" x14ac:dyDescent="0.3">
      <c r="A263" s="28" t="s">
        <v>949</v>
      </c>
      <c r="B263" s="28" t="s">
        <v>950</v>
      </c>
    </row>
    <row r="264" spans="1:2" x14ac:dyDescent="0.3">
      <c r="A264" s="28" t="s">
        <v>951</v>
      </c>
      <c r="B264" s="28" t="s">
        <v>952</v>
      </c>
    </row>
    <row r="265" spans="1:2" x14ac:dyDescent="0.3">
      <c r="A265" s="28" t="s">
        <v>953</v>
      </c>
      <c r="B265" s="28" t="s">
        <v>954</v>
      </c>
    </row>
    <row r="266" spans="1:2" x14ac:dyDescent="0.3">
      <c r="A266" s="28" t="s">
        <v>955</v>
      </c>
      <c r="B266" s="28" t="s">
        <v>956</v>
      </c>
    </row>
    <row r="267" spans="1:2" x14ac:dyDescent="0.3">
      <c r="A267" s="28" t="s">
        <v>957</v>
      </c>
      <c r="B267" s="28" t="s">
        <v>958</v>
      </c>
    </row>
    <row r="268" spans="1:2" x14ac:dyDescent="0.3">
      <c r="A268" s="28" t="s">
        <v>959</v>
      </c>
      <c r="B268" s="28" t="s">
        <v>960</v>
      </c>
    </row>
    <row r="269" spans="1:2" x14ac:dyDescent="0.3">
      <c r="A269" s="28" t="s">
        <v>961</v>
      </c>
      <c r="B269" s="28" t="s">
        <v>962</v>
      </c>
    </row>
    <row r="270" spans="1:2" x14ac:dyDescent="0.3">
      <c r="A270" s="28" t="s">
        <v>963</v>
      </c>
      <c r="B270" s="28" t="s">
        <v>964</v>
      </c>
    </row>
    <row r="271" spans="1:2" x14ac:dyDescent="0.3">
      <c r="A271" s="28" t="s">
        <v>965</v>
      </c>
      <c r="B271" s="28" t="s">
        <v>966</v>
      </c>
    </row>
    <row r="272" spans="1:2" x14ac:dyDescent="0.3">
      <c r="A272" s="28" t="s">
        <v>967</v>
      </c>
      <c r="B272" s="28" t="s">
        <v>968</v>
      </c>
    </row>
    <row r="273" spans="1:2" x14ac:dyDescent="0.3">
      <c r="A273" s="28" t="s">
        <v>969</v>
      </c>
      <c r="B273" s="28" t="s">
        <v>970</v>
      </c>
    </row>
    <row r="274" spans="1:2" x14ac:dyDescent="0.3">
      <c r="A274" s="28" t="s">
        <v>971</v>
      </c>
      <c r="B274" s="28" t="s">
        <v>972</v>
      </c>
    </row>
    <row r="275" spans="1:2" x14ac:dyDescent="0.3">
      <c r="A275" s="28" t="s">
        <v>973</v>
      </c>
      <c r="B275" s="28" t="s">
        <v>974</v>
      </c>
    </row>
    <row r="276" spans="1:2" x14ac:dyDescent="0.3">
      <c r="A276" s="28" t="s">
        <v>975</v>
      </c>
      <c r="B276" s="28" t="s">
        <v>976</v>
      </c>
    </row>
    <row r="277" spans="1:2" x14ac:dyDescent="0.3">
      <c r="A277" s="28" t="s">
        <v>977</v>
      </c>
      <c r="B277" s="28" t="s">
        <v>978</v>
      </c>
    </row>
    <row r="278" spans="1:2" x14ac:dyDescent="0.3">
      <c r="A278" s="28" t="s">
        <v>979</v>
      </c>
      <c r="B278" s="28" t="s">
        <v>980</v>
      </c>
    </row>
    <row r="279" spans="1:2" x14ac:dyDescent="0.3">
      <c r="A279" s="28" t="s">
        <v>981</v>
      </c>
      <c r="B279" s="28" t="s">
        <v>982</v>
      </c>
    </row>
    <row r="280" spans="1:2" x14ac:dyDescent="0.3">
      <c r="A280" s="28" t="s">
        <v>983</v>
      </c>
      <c r="B280" s="28" t="s">
        <v>984</v>
      </c>
    </row>
    <row r="281" spans="1:2" x14ac:dyDescent="0.3">
      <c r="A281" s="28" t="s">
        <v>985</v>
      </c>
      <c r="B281" s="28" t="s">
        <v>986</v>
      </c>
    </row>
    <row r="282" spans="1:2" x14ac:dyDescent="0.3">
      <c r="A282" s="28" t="s">
        <v>987</v>
      </c>
      <c r="B282" s="28" t="s">
        <v>488</v>
      </c>
    </row>
    <row r="283" spans="1:2" x14ac:dyDescent="0.3">
      <c r="A283" s="28" t="s">
        <v>988</v>
      </c>
      <c r="B283" s="28" t="s">
        <v>902</v>
      </c>
    </row>
    <row r="284" spans="1:2" x14ac:dyDescent="0.3">
      <c r="A284" s="28" t="s">
        <v>989</v>
      </c>
      <c r="B284" s="28" t="s">
        <v>990</v>
      </c>
    </row>
    <row r="285" spans="1:2" x14ac:dyDescent="0.3">
      <c r="A285" s="28" t="s">
        <v>991</v>
      </c>
      <c r="B285" s="28" t="s">
        <v>482</v>
      </c>
    </row>
    <row r="286" spans="1:2" x14ac:dyDescent="0.3">
      <c r="A286" s="28" t="s">
        <v>992</v>
      </c>
      <c r="B286" s="28" t="s">
        <v>993</v>
      </c>
    </row>
    <row r="287" spans="1:2" x14ac:dyDescent="0.3">
      <c r="A287" s="28" t="s">
        <v>994</v>
      </c>
      <c r="B287" s="28" t="s">
        <v>995</v>
      </c>
    </row>
    <row r="288" spans="1:2" x14ac:dyDescent="0.3">
      <c r="A288" s="28" t="s">
        <v>996</v>
      </c>
      <c r="B288" s="28" t="s">
        <v>997</v>
      </c>
    </row>
    <row r="289" spans="1:2" x14ac:dyDescent="0.3">
      <c r="A289" s="28" t="s">
        <v>998</v>
      </c>
      <c r="B289" s="28" t="s">
        <v>999</v>
      </c>
    </row>
    <row r="290" spans="1:2" x14ac:dyDescent="0.3">
      <c r="A290" s="28" t="s">
        <v>1000</v>
      </c>
      <c r="B290" s="28" t="s">
        <v>1001</v>
      </c>
    </row>
    <row r="291" spans="1:2" x14ac:dyDescent="0.3">
      <c r="A291" s="28" t="s">
        <v>1002</v>
      </c>
      <c r="B291" s="28" t="s">
        <v>1003</v>
      </c>
    </row>
    <row r="292" spans="1:2" x14ac:dyDescent="0.3">
      <c r="A292" s="28" t="s">
        <v>1004</v>
      </c>
      <c r="B292" s="28" t="s">
        <v>1005</v>
      </c>
    </row>
    <row r="293" spans="1:2" x14ac:dyDescent="0.3">
      <c r="A293" s="28" t="s">
        <v>1006</v>
      </c>
      <c r="B293" s="28" t="s">
        <v>1007</v>
      </c>
    </row>
    <row r="294" spans="1:2" x14ac:dyDescent="0.3">
      <c r="A294" s="28" t="s">
        <v>1008</v>
      </c>
      <c r="B294" s="28" t="s">
        <v>1009</v>
      </c>
    </row>
    <row r="295" spans="1:2" x14ac:dyDescent="0.3">
      <c r="A295" s="28" t="s">
        <v>1010</v>
      </c>
      <c r="B295" s="28" t="s">
        <v>1011</v>
      </c>
    </row>
    <row r="296" spans="1:2" x14ac:dyDescent="0.3">
      <c r="A296" s="28" t="s">
        <v>1012</v>
      </c>
      <c r="B296" s="28" t="s">
        <v>1013</v>
      </c>
    </row>
    <row r="297" spans="1:2" x14ac:dyDescent="0.3">
      <c r="A297" s="28" t="s">
        <v>1014</v>
      </c>
      <c r="B297" s="28" t="s">
        <v>1015</v>
      </c>
    </row>
    <row r="298" spans="1:2" x14ac:dyDescent="0.3">
      <c r="A298" s="28" t="s">
        <v>1016</v>
      </c>
      <c r="B298" s="28" t="s">
        <v>1017</v>
      </c>
    </row>
    <row r="299" spans="1:2" x14ac:dyDescent="0.3">
      <c r="A299" s="28" t="s">
        <v>1018</v>
      </c>
      <c r="B299" s="28" t="s">
        <v>1019</v>
      </c>
    </row>
    <row r="300" spans="1:2" x14ac:dyDescent="0.3">
      <c r="A300" s="28" t="s">
        <v>1020</v>
      </c>
      <c r="B300" s="28" t="s">
        <v>1021</v>
      </c>
    </row>
    <row r="301" spans="1:2" x14ac:dyDescent="0.3">
      <c r="A301" s="28" t="s">
        <v>1022</v>
      </c>
      <c r="B301" s="28" t="s">
        <v>1023</v>
      </c>
    </row>
    <row r="302" spans="1:2" x14ac:dyDescent="0.3">
      <c r="A302" s="28" t="s">
        <v>1024</v>
      </c>
      <c r="B302" s="28" t="s">
        <v>1025</v>
      </c>
    </row>
    <row r="303" spans="1:2" x14ac:dyDescent="0.3">
      <c r="A303" s="28" t="s">
        <v>1026</v>
      </c>
      <c r="B303" s="28" t="s">
        <v>1027</v>
      </c>
    </row>
    <row r="304" spans="1:2" x14ac:dyDescent="0.3">
      <c r="A304" s="28" t="s">
        <v>1028</v>
      </c>
      <c r="B304" s="28" t="s">
        <v>1029</v>
      </c>
    </row>
    <row r="305" spans="1:2" x14ac:dyDescent="0.3">
      <c r="A305" s="28" t="s">
        <v>1030</v>
      </c>
      <c r="B305" s="28" t="s">
        <v>1031</v>
      </c>
    </row>
    <row r="306" spans="1:2" x14ac:dyDescent="0.3">
      <c r="A306" s="28" t="s">
        <v>1032</v>
      </c>
      <c r="B306" s="28" t="s">
        <v>1033</v>
      </c>
    </row>
    <row r="307" spans="1:2" x14ac:dyDescent="0.3">
      <c r="A307" s="28" t="s">
        <v>1034</v>
      </c>
      <c r="B307" s="28" t="s">
        <v>1035</v>
      </c>
    </row>
    <row r="308" spans="1:2" x14ac:dyDescent="0.3">
      <c r="A308" s="28" t="s">
        <v>1036</v>
      </c>
      <c r="B308" s="28" t="s">
        <v>1037</v>
      </c>
    </row>
    <row r="309" spans="1:2" x14ac:dyDescent="0.3">
      <c r="A309" s="28" t="s">
        <v>1038</v>
      </c>
      <c r="B309" s="28" t="s">
        <v>1039</v>
      </c>
    </row>
    <row r="310" spans="1:2" x14ac:dyDescent="0.3">
      <c r="A310" s="28" t="s">
        <v>1040</v>
      </c>
      <c r="B310" s="28" t="s">
        <v>1041</v>
      </c>
    </row>
    <row r="311" spans="1:2" x14ac:dyDescent="0.3">
      <c r="A311" s="28" t="s">
        <v>1042</v>
      </c>
      <c r="B311" s="28" t="s">
        <v>990</v>
      </c>
    </row>
    <row r="312" spans="1:2" x14ac:dyDescent="0.3">
      <c r="A312" s="28" t="s">
        <v>1043</v>
      </c>
      <c r="B312" s="28" t="s">
        <v>1044</v>
      </c>
    </row>
    <row r="313" spans="1:2" x14ac:dyDescent="0.3">
      <c r="A313" s="28" t="s">
        <v>1045</v>
      </c>
      <c r="B313" s="28" t="s">
        <v>1046</v>
      </c>
    </row>
    <row r="314" spans="1:2" x14ac:dyDescent="0.3">
      <c r="A314" s="28" t="s">
        <v>1047</v>
      </c>
      <c r="B314" s="28" t="s">
        <v>488</v>
      </c>
    </row>
    <row r="315" spans="1:2" x14ac:dyDescent="0.3">
      <c r="A315" s="28" t="s">
        <v>1048</v>
      </c>
      <c r="B315" s="28" t="s">
        <v>1049</v>
      </c>
    </row>
    <row r="316" spans="1:2" x14ac:dyDescent="0.3">
      <c r="A316" s="28" t="s">
        <v>1050</v>
      </c>
      <c r="B316" s="28" t="s">
        <v>1051</v>
      </c>
    </row>
    <row r="317" spans="1:2" x14ac:dyDescent="0.3">
      <c r="A317" s="28" t="s">
        <v>1052</v>
      </c>
      <c r="B317" s="28" t="s">
        <v>1053</v>
      </c>
    </row>
    <row r="318" spans="1:2" x14ac:dyDescent="0.3">
      <c r="A318" s="28" t="s">
        <v>1054</v>
      </c>
      <c r="B318" s="28" t="s">
        <v>1055</v>
      </c>
    </row>
    <row r="319" spans="1:2" x14ac:dyDescent="0.3">
      <c r="A319" s="28" t="s">
        <v>1056</v>
      </c>
      <c r="B319" s="28" t="s">
        <v>1057</v>
      </c>
    </row>
    <row r="320" spans="1:2" x14ac:dyDescent="0.3">
      <c r="A320" s="28" t="s">
        <v>1058</v>
      </c>
      <c r="B320" s="28" t="s">
        <v>1059</v>
      </c>
    </row>
    <row r="321" spans="1:2" x14ac:dyDescent="0.3">
      <c r="A321" s="28" t="s">
        <v>1060</v>
      </c>
      <c r="B321" s="28" t="s">
        <v>1061</v>
      </c>
    </row>
    <row r="322" spans="1:2" x14ac:dyDescent="0.3">
      <c r="A322" s="28" t="s">
        <v>1062</v>
      </c>
      <c r="B322" s="28" t="s">
        <v>1063</v>
      </c>
    </row>
    <row r="323" spans="1:2" x14ac:dyDescent="0.3">
      <c r="A323" s="28" t="s">
        <v>1064</v>
      </c>
      <c r="B323" s="28" t="s">
        <v>1065</v>
      </c>
    </row>
    <row r="324" spans="1:2" x14ac:dyDescent="0.3">
      <c r="A324" s="28" t="s">
        <v>1066</v>
      </c>
      <c r="B324" s="28" t="s">
        <v>1067</v>
      </c>
    </row>
    <row r="325" spans="1:2" x14ac:dyDescent="0.3">
      <c r="A325" s="28" t="s">
        <v>1068</v>
      </c>
      <c r="B325" s="28" t="s">
        <v>1069</v>
      </c>
    </row>
    <row r="326" spans="1:2" x14ac:dyDescent="0.3">
      <c r="A326" s="28" t="s">
        <v>1070</v>
      </c>
      <c r="B326" s="28" t="s">
        <v>454</v>
      </c>
    </row>
    <row r="327" spans="1:2" x14ac:dyDescent="0.3">
      <c r="A327" s="28" t="s">
        <v>1071</v>
      </c>
      <c r="B327" s="28" t="s">
        <v>1072</v>
      </c>
    </row>
    <row r="328" spans="1:2" x14ac:dyDescent="0.3">
      <c r="A328" s="28" t="s">
        <v>1073</v>
      </c>
      <c r="B328" s="28" t="s">
        <v>1074</v>
      </c>
    </row>
    <row r="329" spans="1:2" x14ac:dyDescent="0.3">
      <c r="A329" s="28" t="s">
        <v>1075</v>
      </c>
      <c r="B329" s="28" t="s">
        <v>1076</v>
      </c>
    </row>
    <row r="330" spans="1:2" x14ac:dyDescent="0.3">
      <c r="A330" s="28" t="s">
        <v>1077</v>
      </c>
      <c r="B330" s="28" t="s">
        <v>1078</v>
      </c>
    </row>
    <row r="331" spans="1:2" x14ac:dyDescent="0.3">
      <c r="A331" s="28" t="s">
        <v>1079</v>
      </c>
      <c r="B331" s="28" t="s">
        <v>1080</v>
      </c>
    </row>
    <row r="332" spans="1:2" x14ac:dyDescent="0.3">
      <c r="A332" s="28" t="s">
        <v>1081</v>
      </c>
      <c r="B332" s="28" t="s">
        <v>750</v>
      </c>
    </row>
    <row r="333" spans="1:2" x14ac:dyDescent="0.3">
      <c r="A333" s="28" t="s">
        <v>1082</v>
      </c>
      <c r="B333" s="28" t="s">
        <v>1083</v>
      </c>
    </row>
    <row r="334" spans="1:2" x14ac:dyDescent="0.3">
      <c r="A334" s="28" t="s">
        <v>1084</v>
      </c>
      <c r="B334" s="28" t="s">
        <v>1085</v>
      </c>
    </row>
    <row r="335" spans="1:2" x14ac:dyDescent="0.3">
      <c r="A335" s="28" t="s">
        <v>1086</v>
      </c>
      <c r="B335" s="28" t="s">
        <v>1087</v>
      </c>
    </row>
    <row r="336" spans="1:2" x14ac:dyDescent="0.3">
      <c r="A336" s="28" t="s">
        <v>1088</v>
      </c>
      <c r="B336" s="28" t="s">
        <v>1089</v>
      </c>
    </row>
    <row r="337" spans="1:2" x14ac:dyDescent="0.3">
      <c r="A337" s="28" t="s">
        <v>1090</v>
      </c>
      <c r="B337" s="28" t="s">
        <v>1091</v>
      </c>
    </row>
    <row r="338" spans="1:2" x14ac:dyDescent="0.3">
      <c r="A338" s="28" t="s">
        <v>1092</v>
      </c>
      <c r="B338" s="28" t="s">
        <v>1093</v>
      </c>
    </row>
    <row r="339" spans="1:2" x14ac:dyDescent="0.3">
      <c r="A339" s="28" t="s">
        <v>1094</v>
      </c>
      <c r="B339" s="28" t="s">
        <v>1095</v>
      </c>
    </row>
    <row r="340" spans="1:2" x14ac:dyDescent="0.3">
      <c r="A340" s="28" t="s">
        <v>1096</v>
      </c>
      <c r="B340" s="28" t="s">
        <v>1097</v>
      </c>
    </row>
    <row r="341" spans="1:2" x14ac:dyDescent="0.3">
      <c r="A341" s="28" t="s">
        <v>1098</v>
      </c>
      <c r="B341" s="28" t="s">
        <v>1099</v>
      </c>
    </row>
    <row r="342" spans="1:2" x14ac:dyDescent="0.3">
      <c r="A342" s="28" t="s">
        <v>1100</v>
      </c>
      <c r="B342" s="28" t="s">
        <v>1101</v>
      </c>
    </row>
    <row r="343" spans="1:2" x14ac:dyDescent="0.3">
      <c r="A343" s="28" t="s">
        <v>1102</v>
      </c>
      <c r="B343" s="28" t="s">
        <v>1103</v>
      </c>
    </row>
    <row r="344" spans="1:2" x14ac:dyDescent="0.3">
      <c r="A344" s="28" t="s">
        <v>1104</v>
      </c>
      <c r="B344" s="28" t="s">
        <v>1105</v>
      </c>
    </row>
    <row r="345" spans="1:2" x14ac:dyDescent="0.3">
      <c r="A345" s="28" t="s">
        <v>1106</v>
      </c>
      <c r="B345" s="28" t="s">
        <v>1107</v>
      </c>
    </row>
    <row r="346" spans="1:2" x14ac:dyDescent="0.3">
      <c r="A346" s="28" t="s">
        <v>1108</v>
      </c>
      <c r="B346" s="28" t="s">
        <v>1109</v>
      </c>
    </row>
    <row r="347" spans="1:2" x14ac:dyDescent="0.3">
      <c r="A347" s="28" t="s">
        <v>1110</v>
      </c>
      <c r="B347" s="28" t="s">
        <v>1111</v>
      </c>
    </row>
    <row r="348" spans="1:2" x14ac:dyDescent="0.3">
      <c r="A348" s="28" t="s">
        <v>1112</v>
      </c>
      <c r="B348" s="28" t="s">
        <v>1113</v>
      </c>
    </row>
    <row r="349" spans="1:2" x14ac:dyDescent="0.3">
      <c r="A349" s="28" t="s">
        <v>1114</v>
      </c>
      <c r="B349" s="28" t="s">
        <v>670</v>
      </c>
    </row>
    <row r="350" spans="1:2" x14ac:dyDescent="0.3">
      <c r="A350" s="28" t="s">
        <v>1115</v>
      </c>
      <c r="B350" s="28" t="s">
        <v>1116</v>
      </c>
    </row>
    <row r="351" spans="1:2" x14ac:dyDescent="0.3">
      <c r="A351" s="28" t="s">
        <v>1117</v>
      </c>
      <c r="B351" s="28" t="s">
        <v>1118</v>
      </c>
    </row>
    <row r="352" spans="1:2" x14ac:dyDescent="0.3">
      <c r="A352" s="28" t="s">
        <v>1119</v>
      </c>
      <c r="B352" s="28" t="s">
        <v>782</v>
      </c>
    </row>
    <row r="353" spans="1:2" x14ac:dyDescent="0.3">
      <c r="A353" s="28" t="s">
        <v>1120</v>
      </c>
      <c r="B353" s="28" t="s">
        <v>1121</v>
      </c>
    </row>
    <row r="354" spans="1:2" x14ac:dyDescent="0.3">
      <c r="A354" s="28" t="s">
        <v>1122</v>
      </c>
      <c r="B354" s="28" t="s">
        <v>1123</v>
      </c>
    </row>
    <row r="355" spans="1:2" x14ac:dyDescent="0.3">
      <c r="A355" s="28" t="s">
        <v>1124</v>
      </c>
      <c r="B355" s="28" t="s">
        <v>1125</v>
      </c>
    </row>
    <row r="356" spans="1:2" x14ac:dyDescent="0.3">
      <c r="A356" s="28" t="s">
        <v>1126</v>
      </c>
      <c r="B356" s="28" t="s">
        <v>1127</v>
      </c>
    </row>
    <row r="357" spans="1:2" x14ac:dyDescent="0.3">
      <c r="A357" s="28" t="s">
        <v>1128</v>
      </c>
      <c r="B357" s="28" t="s">
        <v>1129</v>
      </c>
    </row>
    <row r="358" spans="1:2" x14ac:dyDescent="0.3">
      <c r="A358" s="28" t="s">
        <v>1130</v>
      </c>
      <c r="B358" s="28" t="s">
        <v>1131</v>
      </c>
    </row>
    <row r="359" spans="1:2" x14ac:dyDescent="0.3">
      <c r="A359" s="28" t="s">
        <v>1132</v>
      </c>
      <c r="B359" s="28" t="s">
        <v>1133</v>
      </c>
    </row>
    <row r="360" spans="1:2" x14ac:dyDescent="0.3">
      <c r="A360" s="28" t="s">
        <v>1134</v>
      </c>
      <c r="B360" s="28" t="s">
        <v>1135</v>
      </c>
    </row>
    <row r="361" spans="1:2" x14ac:dyDescent="0.3">
      <c r="A361" s="28" t="s">
        <v>1136</v>
      </c>
      <c r="B361" s="28" t="s">
        <v>1137</v>
      </c>
    </row>
    <row r="362" spans="1:2" x14ac:dyDescent="0.3">
      <c r="A362" s="28" t="s">
        <v>1138</v>
      </c>
      <c r="B362" s="28" t="s">
        <v>1139</v>
      </c>
    </row>
    <row r="363" spans="1:2" x14ac:dyDescent="0.3">
      <c r="A363" s="28" t="s">
        <v>1140</v>
      </c>
      <c r="B363" s="28" t="s">
        <v>1141</v>
      </c>
    </row>
    <row r="364" spans="1:2" x14ac:dyDescent="0.3">
      <c r="A364" s="28" t="s">
        <v>1142</v>
      </c>
      <c r="B364" s="28" t="s">
        <v>446</v>
      </c>
    </row>
    <row r="365" spans="1:2" x14ac:dyDescent="0.3">
      <c r="A365" s="28" t="s">
        <v>1143</v>
      </c>
      <c r="B365" s="28" t="s">
        <v>448</v>
      </c>
    </row>
    <row r="366" spans="1:2" x14ac:dyDescent="0.3">
      <c r="A366" s="28" t="s">
        <v>1144</v>
      </c>
      <c r="B366" s="28" t="s">
        <v>1145</v>
      </c>
    </row>
    <row r="367" spans="1:2" x14ac:dyDescent="0.3">
      <c r="A367" s="28" t="s">
        <v>1146</v>
      </c>
      <c r="B367" s="28" t="s">
        <v>1147</v>
      </c>
    </row>
    <row r="368" spans="1:2" x14ac:dyDescent="0.3">
      <c r="A368" s="28" t="s">
        <v>1148</v>
      </c>
      <c r="B368" s="28" t="s">
        <v>1149</v>
      </c>
    </row>
    <row r="369" spans="1:2" x14ac:dyDescent="0.3">
      <c r="A369" s="28" t="s">
        <v>1150</v>
      </c>
      <c r="B369" s="28" t="s">
        <v>1151</v>
      </c>
    </row>
    <row r="370" spans="1:2" x14ac:dyDescent="0.3">
      <c r="A370" s="28" t="s">
        <v>1152</v>
      </c>
      <c r="B370" s="28" t="s">
        <v>1153</v>
      </c>
    </row>
    <row r="371" spans="1:2" x14ac:dyDescent="0.3">
      <c r="A371" s="28" t="s">
        <v>1154</v>
      </c>
      <c r="B371" s="28" t="s">
        <v>1155</v>
      </c>
    </row>
    <row r="372" spans="1:2" x14ac:dyDescent="0.3">
      <c r="A372" s="28" t="s">
        <v>1156</v>
      </c>
      <c r="B372" s="28" t="s">
        <v>1157</v>
      </c>
    </row>
    <row r="373" spans="1:2" x14ac:dyDescent="0.3">
      <c r="A373" s="28" t="s">
        <v>1158</v>
      </c>
      <c r="B373" s="28" t="s">
        <v>1159</v>
      </c>
    </row>
    <row r="374" spans="1:2" x14ac:dyDescent="0.3">
      <c r="A374" s="28" t="s">
        <v>1160</v>
      </c>
      <c r="B374" s="28" t="s">
        <v>1161</v>
      </c>
    </row>
    <row r="375" spans="1:2" x14ac:dyDescent="0.3">
      <c r="A375" s="28" t="s">
        <v>1162</v>
      </c>
      <c r="B375" s="28" t="s">
        <v>1163</v>
      </c>
    </row>
    <row r="376" spans="1:2" x14ac:dyDescent="0.3">
      <c r="A376" s="28" t="s">
        <v>1164</v>
      </c>
      <c r="B376" s="28" t="s">
        <v>1165</v>
      </c>
    </row>
    <row r="377" spans="1:2" x14ac:dyDescent="0.3">
      <c r="A377" s="28" t="s">
        <v>1166</v>
      </c>
      <c r="B377" s="28" t="s">
        <v>1167</v>
      </c>
    </row>
    <row r="378" spans="1:2" x14ac:dyDescent="0.3">
      <c r="A378" s="28" t="s">
        <v>1168</v>
      </c>
      <c r="B378" s="28" t="s">
        <v>1169</v>
      </c>
    </row>
    <row r="379" spans="1:2" x14ac:dyDescent="0.3">
      <c r="A379" s="28" t="s">
        <v>1170</v>
      </c>
      <c r="B379" s="28" t="s">
        <v>1171</v>
      </c>
    </row>
    <row r="380" spans="1:2" x14ac:dyDescent="0.3">
      <c r="A380" s="28" t="s">
        <v>1172</v>
      </c>
      <c r="B380" s="28" t="s">
        <v>1173</v>
      </c>
    </row>
    <row r="381" spans="1:2" x14ac:dyDescent="0.3">
      <c r="A381" s="28" t="s">
        <v>1174</v>
      </c>
      <c r="B381" s="28" t="s">
        <v>1175</v>
      </c>
    </row>
    <row r="382" spans="1:2" x14ac:dyDescent="0.3">
      <c r="A382" s="28" t="s">
        <v>1176</v>
      </c>
      <c r="B382" s="28" t="s">
        <v>1177</v>
      </c>
    </row>
    <row r="383" spans="1:2" x14ac:dyDescent="0.3">
      <c r="A383" s="28" t="s">
        <v>1178</v>
      </c>
      <c r="B383" s="28" t="s">
        <v>1179</v>
      </c>
    </row>
    <row r="384" spans="1:2" x14ac:dyDescent="0.3">
      <c r="A384" s="28" t="s">
        <v>1180</v>
      </c>
      <c r="B384" s="28" t="s">
        <v>1181</v>
      </c>
    </row>
    <row r="385" spans="1:2" x14ac:dyDescent="0.3">
      <c r="A385" s="28" t="s">
        <v>1182</v>
      </c>
      <c r="B385" s="28" t="s">
        <v>1183</v>
      </c>
    </row>
    <row r="386" spans="1:2" x14ac:dyDescent="0.3">
      <c r="A386" s="28" t="s">
        <v>1184</v>
      </c>
      <c r="B386" s="28" t="s">
        <v>1185</v>
      </c>
    </row>
    <row r="387" spans="1:2" x14ac:dyDescent="0.3">
      <c r="A387" s="28" t="s">
        <v>1186</v>
      </c>
      <c r="B387" s="28" t="s">
        <v>1187</v>
      </c>
    </row>
    <row r="388" spans="1:2" x14ac:dyDescent="0.3">
      <c r="A388" s="28" t="s">
        <v>1188</v>
      </c>
      <c r="B388" s="28" t="s">
        <v>1189</v>
      </c>
    </row>
    <row r="389" spans="1:2" x14ac:dyDescent="0.3">
      <c r="A389" s="28" t="s">
        <v>1190</v>
      </c>
      <c r="B389" s="28" t="s">
        <v>846</v>
      </c>
    </row>
    <row r="390" spans="1:2" x14ac:dyDescent="0.3">
      <c r="A390" s="28" t="s">
        <v>1191</v>
      </c>
      <c r="B390" s="28" t="s">
        <v>1192</v>
      </c>
    </row>
    <row r="391" spans="1:2" x14ac:dyDescent="0.3">
      <c r="A391" s="28" t="s">
        <v>1193</v>
      </c>
      <c r="B391" s="28" t="s">
        <v>1194</v>
      </c>
    </row>
    <row r="392" spans="1:2" x14ac:dyDescent="0.3">
      <c r="A392" s="28" t="s">
        <v>1195</v>
      </c>
      <c r="B392" s="28" t="s">
        <v>1196</v>
      </c>
    </row>
    <row r="393" spans="1:2" x14ac:dyDescent="0.3">
      <c r="A393" s="28" t="s">
        <v>1197</v>
      </c>
      <c r="B393" s="28" t="s">
        <v>1198</v>
      </c>
    </row>
    <row r="394" spans="1:2" x14ac:dyDescent="0.3">
      <c r="A394" s="28" t="s">
        <v>1199</v>
      </c>
      <c r="B394" s="28" t="s">
        <v>1200</v>
      </c>
    </row>
    <row r="395" spans="1:2" x14ac:dyDescent="0.3">
      <c r="A395" s="28" t="s">
        <v>1201</v>
      </c>
      <c r="B395" s="28" t="s">
        <v>1202</v>
      </c>
    </row>
    <row r="396" spans="1:2" x14ac:dyDescent="0.3">
      <c r="A396" s="28" t="s">
        <v>1203</v>
      </c>
      <c r="B396" s="28" t="s">
        <v>1204</v>
      </c>
    </row>
    <row r="397" spans="1:2" x14ac:dyDescent="0.3">
      <c r="A397" s="28" t="s">
        <v>1205</v>
      </c>
      <c r="B397" s="28" t="s">
        <v>1206</v>
      </c>
    </row>
    <row r="398" spans="1:2" x14ac:dyDescent="0.3">
      <c r="A398" s="28" t="s">
        <v>1207</v>
      </c>
      <c r="B398" s="28" t="s">
        <v>1208</v>
      </c>
    </row>
    <row r="399" spans="1:2" x14ac:dyDescent="0.3">
      <c r="A399" s="28" t="s">
        <v>1209</v>
      </c>
      <c r="B399" s="28" t="s">
        <v>1210</v>
      </c>
    </row>
    <row r="400" spans="1:2" x14ac:dyDescent="0.3">
      <c r="A400" s="28" t="s">
        <v>1211</v>
      </c>
      <c r="B400" s="28" t="s">
        <v>1212</v>
      </c>
    </row>
    <row r="401" spans="1:2" x14ac:dyDescent="0.3">
      <c r="A401" s="28" t="s">
        <v>1213</v>
      </c>
      <c r="B401" s="28" t="s">
        <v>1214</v>
      </c>
    </row>
    <row r="402" spans="1:2" x14ac:dyDescent="0.3">
      <c r="A402" s="28" t="s">
        <v>1215</v>
      </c>
      <c r="B402" s="28" t="s">
        <v>1216</v>
      </c>
    </row>
    <row r="403" spans="1:2" x14ac:dyDescent="0.3">
      <c r="A403" s="28" t="s">
        <v>1217</v>
      </c>
      <c r="B403" s="28" t="s">
        <v>1218</v>
      </c>
    </row>
    <row r="404" spans="1:2" x14ac:dyDescent="0.3">
      <c r="A404" s="28" t="s">
        <v>1219</v>
      </c>
      <c r="B404" s="28" t="s">
        <v>1220</v>
      </c>
    </row>
    <row r="405" spans="1:2" x14ac:dyDescent="0.3">
      <c r="A405" s="28" t="s">
        <v>1221</v>
      </c>
      <c r="B405" s="28" t="s">
        <v>1222</v>
      </c>
    </row>
    <row r="406" spans="1:2" x14ac:dyDescent="0.3">
      <c r="A406" s="28" t="s">
        <v>1223</v>
      </c>
      <c r="B406" s="28" t="s">
        <v>1224</v>
      </c>
    </row>
    <row r="407" spans="1:2" x14ac:dyDescent="0.3">
      <c r="A407" s="28" t="s">
        <v>1225</v>
      </c>
      <c r="B407" s="28" t="s">
        <v>1226</v>
      </c>
    </row>
    <row r="408" spans="1:2" x14ac:dyDescent="0.3">
      <c r="A408" s="28" t="s">
        <v>1227</v>
      </c>
      <c r="B408" s="28" t="s">
        <v>1228</v>
      </c>
    </row>
    <row r="409" spans="1:2" x14ac:dyDescent="0.3">
      <c r="A409" s="28" t="s">
        <v>1229</v>
      </c>
      <c r="B409" s="28" t="s">
        <v>1230</v>
      </c>
    </row>
    <row r="410" spans="1:2" x14ac:dyDescent="0.3">
      <c r="A410" s="28" t="s">
        <v>1231</v>
      </c>
      <c r="B410" s="28" t="s">
        <v>1232</v>
      </c>
    </row>
    <row r="411" spans="1:2" x14ac:dyDescent="0.3">
      <c r="A411" s="28" t="s">
        <v>1233</v>
      </c>
      <c r="B411" s="28" t="s">
        <v>1234</v>
      </c>
    </row>
    <row r="412" spans="1:2" x14ac:dyDescent="0.3">
      <c r="A412" s="28" t="s">
        <v>1235</v>
      </c>
      <c r="B412" s="28" t="s">
        <v>1236</v>
      </c>
    </row>
    <row r="413" spans="1:2" x14ac:dyDescent="0.3">
      <c r="A413" s="28" t="s">
        <v>1237</v>
      </c>
      <c r="B413" s="28" t="s">
        <v>1238</v>
      </c>
    </row>
    <row r="414" spans="1:2" x14ac:dyDescent="0.3">
      <c r="A414" s="28" t="s">
        <v>1239</v>
      </c>
      <c r="B414" s="28" t="s">
        <v>1240</v>
      </c>
    </row>
    <row r="415" spans="1:2" x14ac:dyDescent="0.3">
      <c r="A415" s="28" t="s">
        <v>1241</v>
      </c>
      <c r="B415" s="28" t="s">
        <v>1242</v>
      </c>
    </row>
    <row r="416" spans="1:2" x14ac:dyDescent="0.3">
      <c r="A416" s="28" t="s">
        <v>1243</v>
      </c>
      <c r="B416" s="28" t="s">
        <v>1244</v>
      </c>
    </row>
    <row r="417" spans="1:2" x14ac:dyDescent="0.3">
      <c r="A417" s="28" t="s">
        <v>1245</v>
      </c>
      <c r="B417" s="28" t="s">
        <v>1246</v>
      </c>
    </row>
    <row r="418" spans="1:2" x14ac:dyDescent="0.3">
      <c r="A418" s="28" t="s">
        <v>1247</v>
      </c>
      <c r="B418" s="28" t="s">
        <v>1248</v>
      </c>
    </row>
    <row r="419" spans="1:2" x14ac:dyDescent="0.3">
      <c r="A419" s="28" t="s">
        <v>1249</v>
      </c>
      <c r="B419" s="28" t="s">
        <v>1250</v>
      </c>
    </row>
    <row r="420" spans="1:2" x14ac:dyDescent="0.3">
      <c r="A420" s="28" t="s">
        <v>1251</v>
      </c>
      <c r="B420" s="28" t="s">
        <v>1252</v>
      </c>
    </row>
    <row r="421" spans="1:2" x14ac:dyDescent="0.3">
      <c r="A421" s="28" t="s">
        <v>1253</v>
      </c>
      <c r="B421" s="28" t="s">
        <v>1254</v>
      </c>
    </row>
    <row r="422" spans="1:2" x14ac:dyDescent="0.3">
      <c r="A422" s="28" t="s">
        <v>1255</v>
      </c>
      <c r="B422" s="28" t="s">
        <v>1256</v>
      </c>
    </row>
    <row r="423" spans="1:2" x14ac:dyDescent="0.3">
      <c r="A423" s="28" t="s">
        <v>1257</v>
      </c>
      <c r="B423" s="28" t="s">
        <v>1258</v>
      </c>
    </row>
    <row r="424" spans="1:2" x14ac:dyDescent="0.3">
      <c r="A424" s="28" t="s">
        <v>1259</v>
      </c>
      <c r="B424" s="28" t="s">
        <v>1260</v>
      </c>
    </row>
    <row r="425" spans="1:2" x14ac:dyDescent="0.3">
      <c r="A425" s="28" t="s">
        <v>1261</v>
      </c>
      <c r="B425" s="28" t="s">
        <v>1262</v>
      </c>
    </row>
    <row r="426" spans="1:2" x14ac:dyDescent="0.3">
      <c r="A426" s="28" t="s">
        <v>1263</v>
      </c>
      <c r="B426" s="28" t="s">
        <v>1264</v>
      </c>
    </row>
    <row r="427" spans="1:2" x14ac:dyDescent="0.3">
      <c r="A427" s="28" t="s">
        <v>1265</v>
      </c>
      <c r="B427" s="28" t="s">
        <v>1266</v>
      </c>
    </row>
    <row r="428" spans="1:2" x14ac:dyDescent="0.3">
      <c r="A428" s="28" t="s">
        <v>1267</v>
      </c>
      <c r="B428" s="28" t="s">
        <v>1268</v>
      </c>
    </row>
    <row r="429" spans="1:2" x14ac:dyDescent="0.3">
      <c r="A429" s="28" t="s">
        <v>1269</v>
      </c>
      <c r="B429" s="28" t="s">
        <v>1270</v>
      </c>
    </row>
    <row r="430" spans="1:2" x14ac:dyDescent="0.3">
      <c r="A430" s="28" t="s">
        <v>1271</v>
      </c>
      <c r="B430" s="28" t="s">
        <v>1272</v>
      </c>
    </row>
    <row r="431" spans="1:2" x14ac:dyDescent="0.3">
      <c r="A431" s="28" t="s">
        <v>1273</v>
      </c>
      <c r="B431" s="28" t="s">
        <v>1274</v>
      </c>
    </row>
    <row r="432" spans="1:2" x14ac:dyDescent="0.3">
      <c r="A432" s="28" t="s">
        <v>1275</v>
      </c>
      <c r="B432" s="28" t="s">
        <v>1276</v>
      </c>
    </row>
    <row r="433" spans="1:2" x14ac:dyDescent="0.3">
      <c r="A433" s="28" t="s">
        <v>1277</v>
      </c>
      <c r="B433" s="28" t="s">
        <v>1278</v>
      </c>
    </row>
    <row r="434" spans="1:2" x14ac:dyDescent="0.3">
      <c r="A434" s="28" t="s">
        <v>1279</v>
      </c>
      <c r="B434" s="28" t="s">
        <v>1280</v>
      </c>
    </row>
    <row r="435" spans="1:2" x14ac:dyDescent="0.3">
      <c r="A435" s="28" t="s">
        <v>1281</v>
      </c>
      <c r="B435" s="28" t="s">
        <v>1282</v>
      </c>
    </row>
    <row r="436" spans="1:2" x14ac:dyDescent="0.3">
      <c r="A436" s="28" t="s">
        <v>1283</v>
      </c>
      <c r="B436" s="28" t="s">
        <v>1284</v>
      </c>
    </row>
    <row r="437" spans="1:2" x14ac:dyDescent="0.3">
      <c r="A437" s="28" t="s">
        <v>1285</v>
      </c>
      <c r="B437" s="28" t="s">
        <v>1286</v>
      </c>
    </row>
    <row r="438" spans="1:2" x14ac:dyDescent="0.3">
      <c r="A438" s="28" t="s">
        <v>1287</v>
      </c>
      <c r="B438" s="28" t="s">
        <v>1288</v>
      </c>
    </row>
    <row r="439" spans="1:2" x14ac:dyDescent="0.3">
      <c r="A439" s="28" t="s">
        <v>1289</v>
      </c>
      <c r="B439" s="28" t="s">
        <v>1290</v>
      </c>
    </row>
    <row r="440" spans="1:2" x14ac:dyDescent="0.3">
      <c r="A440" s="28" t="s">
        <v>1291</v>
      </c>
      <c r="B440" s="28" t="s">
        <v>1292</v>
      </c>
    </row>
    <row r="441" spans="1:2" x14ac:dyDescent="0.3">
      <c r="A441" s="28" t="s">
        <v>1293</v>
      </c>
      <c r="B441" s="28" t="s">
        <v>1294</v>
      </c>
    </row>
    <row r="442" spans="1:2" x14ac:dyDescent="0.3">
      <c r="A442" s="28" t="s">
        <v>1295</v>
      </c>
      <c r="B442" s="28" t="s">
        <v>1296</v>
      </c>
    </row>
    <row r="443" spans="1:2" x14ac:dyDescent="0.3">
      <c r="A443" s="28" t="s">
        <v>1297</v>
      </c>
      <c r="B443" s="28" t="s">
        <v>902</v>
      </c>
    </row>
    <row r="444" spans="1:2" x14ac:dyDescent="0.3">
      <c r="A444" s="28" t="s">
        <v>1298</v>
      </c>
      <c r="B444" s="28" t="s">
        <v>1299</v>
      </c>
    </row>
    <row r="445" spans="1:2" x14ac:dyDescent="0.3">
      <c r="A445" s="28" t="s">
        <v>1300</v>
      </c>
      <c r="B445" s="28" t="s">
        <v>1301</v>
      </c>
    </row>
    <row r="446" spans="1:2" x14ac:dyDescent="0.3">
      <c r="A446" s="28" t="s">
        <v>1302</v>
      </c>
      <c r="B446" s="28" t="s">
        <v>1303</v>
      </c>
    </row>
    <row r="447" spans="1:2" x14ac:dyDescent="0.3">
      <c r="A447" s="28" t="s">
        <v>1304</v>
      </c>
      <c r="B447" s="28" t="s">
        <v>1305</v>
      </c>
    </row>
    <row r="448" spans="1:2" x14ac:dyDescent="0.3">
      <c r="A448" s="28" t="s">
        <v>1306</v>
      </c>
      <c r="B448" s="28" t="s">
        <v>1307</v>
      </c>
    </row>
    <row r="449" spans="1:2" x14ac:dyDescent="0.3">
      <c r="A449" s="28" t="s">
        <v>1308</v>
      </c>
      <c r="B449" s="28" t="s">
        <v>876</v>
      </c>
    </row>
    <row r="450" spans="1:2" x14ac:dyDescent="0.3">
      <c r="A450" s="28" t="s">
        <v>1309</v>
      </c>
      <c r="B450" s="28" t="s">
        <v>1310</v>
      </c>
    </row>
    <row r="451" spans="1:2" x14ac:dyDescent="0.3">
      <c r="A451" s="28" t="s">
        <v>1311</v>
      </c>
      <c r="B451" s="28" t="s">
        <v>1312</v>
      </c>
    </row>
    <row r="452" spans="1:2" x14ac:dyDescent="0.3">
      <c r="A452" s="28" t="s">
        <v>1313</v>
      </c>
      <c r="B452" s="28" t="s">
        <v>1314</v>
      </c>
    </row>
    <row r="453" spans="1:2" x14ac:dyDescent="0.3">
      <c r="A453" s="28" t="s">
        <v>1315</v>
      </c>
      <c r="B453" s="28" t="s">
        <v>1316</v>
      </c>
    </row>
    <row r="454" spans="1:2" x14ac:dyDescent="0.3">
      <c r="A454" s="28" t="s">
        <v>1317</v>
      </c>
      <c r="B454" s="28" t="s">
        <v>1318</v>
      </c>
    </row>
    <row r="455" spans="1:2" x14ac:dyDescent="0.3">
      <c r="A455" s="28" t="s">
        <v>1319</v>
      </c>
      <c r="B455" s="28" t="s">
        <v>1320</v>
      </c>
    </row>
    <row r="456" spans="1:2" x14ac:dyDescent="0.3">
      <c r="A456" s="28" t="s">
        <v>1321</v>
      </c>
      <c r="B456" s="28" t="s">
        <v>1322</v>
      </c>
    </row>
    <row r="457" spans="1:2" x14ac:dyDescent="0.3">
      <c r="A457" s="28" t="s">
        <v>1323</v>
      </c>
      <c r="B457" s="28" t="s">
        <v>1078</v>
      </c>
    </row>
    <row r="458" spans="1:2" x14ac:dyDescent="0.3">
      <c r="A458" s="28" t="s">
        <v>1324</v>
      </c>
      <c r="B458" s="28" t="s">
        <v>1325</v>
      </c>
    </row>
    <row r="459" spans="1:2" x14ac:dyDescent="0.3">
      <c r="A459" s="28" t="s">
        <v>1326</v>
      </c>
      <c r="B459" s="28" t="s">
        <v>750</v>
      </c>
    </row>
    <row r="460" spans="1:2" x14ac:dyDescent="0.3">
      <c r="A460" s="28" t="s">
        <v>1327</v>
      </c>
      <c r="B460" s="28" t="s">
        <v>1328</v>
      </c>
    </row>
    <row r="461" spans="1:2" x14ac:dyDescent="0.3">
      <c r="A461" s="28" t="s">
        <v>1329</v>
      </c>
      <c r="B461" s="28" t="s">
        <v>1330</v>
      </c>
    </row>
    <row r="462" spans="1:2" x14ac:dyDescent="0.3">
      <c r="A462" s="28" t="s">
        <v>1331</v>
      </c>
      <c r="B462" s="28" t="s">
        <v>1332</v>
      </c>
    </row>
    <row r="463" spans="1:2" x14ac:dyDescent="0.3">
      <c r="A463" s="28" t="s">
        <v>1333</v>
      </c>
      <c r="B463" s="28" t="s">
        <v>1334</v>
      </c>
    </row>
    <row r="464" spans="1:2" x14ac:dyDescent="0.3">
      <c r="A464" s="28" t="s">
        <v>1335</v>
      </c>
      <c r="B464" s="28" t="s">
        <v>1336</v>
      </c>
    </row>
    <row r="465" spans="1:2" x14ac:dyDescent="0.3">
      <c r="A465" s="28" t="s">
        <v>1337</v>
      </c>
      <c r="B465" s="28" t="s">
        <v>1338</v>
      </c>
    </row>
    <row r="466" spans="1:2" x14ac:dyDescent="0.3">
      <c r="A466" s="28" t="s">
        <v>1339</v>
      </c>
      <c r="B466" s="28" t="s">
        <v>1340</v>
      </c>
    </row>
    <row r="467" spans="1:2" x14ac:dyDescent="0.3">
      <c r="A467" s="28" t="s">
        <v>1341</v>
      </c>
      <c r="B467" s="28" t="s">
        <v>1342</v>
      </c>
    </row>
    <row r="468" spans="1:2" x14ac:dyDescent="0.3">
      <c r="A468" s="28" t="s">
        <v>1343</v>
      </c>
      <c r="B468" s="28" t="s">
        <v>590</v>
      </c>
    </row>
    <row r="469" spans="1:2" x14ac:dyDescent="0.3">
      <c r="A469" s="28" t="s">
        <v>1344</v>
      </c>
      <c r="B469" s="28" t="s">
        <v>1345</v>
      </c>
    </row>
    <row r="470" spans="1:2" x14ac:dyDescent="0.3">
      <c r="A470" s="28" t="s">
        <v>1346</v>
      </c>
      <c r="B470" s="28" t="s">
        <v>1347</v>
      </c>
    </row>
    <row r="471" spans="1:2" x14ac:dyDescent="0.3">
      <c r="A471" s="28" t="s">
        <v>1348</v>
      </c>
      <c r="B471" s="28" t="s">
        <v>1349</v>
      </c>
    </row>
    <row r="472" spans="1:2" x14ac:dyDescent="0.3">
      <c r="A472" s="28" t="s">
        <v>1350</v>
      </c>
      <c r="B472" s="28" t="s">
        <v>1351</v>
      </c>
    </row>
    <row r="473" spans="1:2" x14ac:dyDescent="0.3">
      <c r="A473" s="28" t="s">
        <v>1352</v>
      </c>
      <c r="B473" s="28" t="s">
        <v>1353</v>
      </c>
    </row>
    <row r="474" spans="1:2" x14ac:dyDescent="0.3">
      <c r="A474" s="28" t="s">
        <v>1354</v>
      </c>
      <c r="B474" s="28" t="s">
        <v>1355</v>
      </c>
    </row>
    <row r="475" spans="1:2" x14ac:dyDescent="0.3">
      <c r="A475" s="28" t="s">
        <v>1356</v>
      </c>
      <c r="B475" s="28" t="s">
        <v>876</v>
      </c>
    </row>
    <row r="476" spans="1:2" x14ac:dyDescent="0.3">
      <c r="A476" s="28" t="s">
        <v>1357</v>
      </c>
      <c r="B476" s="28" t="s">
        <v>1358</v>
      </c>
    </row>
    <row r="477" spans="1:2" x14ac:dyDescent="0.3">
      <c r="A477" s="28" t="s">
        <v>1359</v>
      </c>
      <c r="B477" s="28" t="s">
        <v>1360</v>
      </c>
    </row>
    <row r="478" spans="1:2" x14ac:dyDescent="0.3">
      <c r="A478" s="28" t="s">
        <v>1361</v>
      </c>
      <c r="B478" s="28" t="s">
        <v>1362</v>
      </c>
    </row>
    <row r="479" spans="1:2" x14ac:dyDescent="0.3">
      <c r="A479" s="28" t="s">
        <v>1363</v>
      </c>
      <c r="B479" s="28" t="s">
        <v>1364</v>
      </c>
    </row>
    <row r="480" spans="1:2" x14ac:dyDescent="0.3">
      <c r="A480" s="28" t="s">
        <v>1365</v>
      </c>
      <c r="B480" s="28" t="s">
        <v>1366</v>
      </c>
    </row>
    <row r="481" spans="1:2" x14ac:dyDescent="0.3">
      <c r="A481" s="28" t="s">
        <v>1367</v>
      </c>
      <c r="B481" s="28" t="s">
        <v>1368</v>
      </c>
    </row>
    <row r="482" spans="1:2" x14ac:dyDescent="0.3">
      <c r="A482" s="28" t="s">
        <v>1369</v>
      </c>
      <c r="B482" s="28" t="s">
        <v>1370</v>
      </c>
    </row>
    <row r="483" spans="1:2" x14ac:dyDescent="0.3">
      <c r="A483" s="28" t="s">
        <v>1371</v>
      </c>
      <c r="B483" s="28" t="s">
        <v>596</v>
      </c>
    </row>
    <row r="484" spans="1:2" x14ac:dyDescent="0.3">
      <c r="A484" s="28" t="s">
        <v>1372</v>
      </c>
      <c r="B484" s="28" t="s">
        <v>1373</v>
      </c>
    </row>
    <row r="485" spans="1:2" x14ac:dyDescent="0.3">
      <c r="A485" s="28" t="s">
        <v>1374</v>
      </c>
      <c r="B485" s="28" t="s">
        <v>990</v>
      </c>
    </row>
    <row r="486" spans="1:2" x14ac:dyDescent="0.3">
      <c r="A486" s="28" t="s">
        <v>1375</v>
      </c>
      <c r="B486" s="28" t="s">
        <v>602</v>
      </c>
    </row>
    <row r="487" spans="1:2" x14ac:dyDescent="0.3">
      <c r="A487" s="28" t="s">
        <v>1376</v>
      </c>
      <c r="B487" s="28" t="s">
        <v>1377</v>
      </c>
    </row>
    <row r="488" spans="1:2" x14ac:dyDescent="0.3">
      <c r="A488" s="28" t="s">
        <v>1378</v>
      </c>
      <c r="B488" s="28" t="s">
        <v>1379</v>
      </c>
    </row>
    <row r="489" spans="1:2" x14ac:dyDescent="0.3">
      <c r="A489" s="28" t="s">
        <v>1380</v>
      </c>
      <c r="B489" s="28" t="s">
        <v>1381</v>
      </c>
    </row>
    <row r="490" spans="1:2" x14ac:dyDescent="0.3">
      <c r="A490" s="28" t="s">
        <v>1382</v>
      </c>
      <c r="B490" s="28" t="s">
        <v>1383</v>
      </c>
    </row>
    <row r="491" spans="1:2" x14ac:dyDescent="0.3">
      <c r="A491" s="28" t="s">
        <v>1384</v>
      </c>
      <c r="B491" s="28" t="s">
        <v>1385</v>
      </c>
    </row>
    <row r="492" spans="1:2" x14ac:dyDescent="0.3">
      <c r="A492" s="28" t="s">
        <v>1386</v>
      </c>
      <c r="B492" s="28" t="s">
        <v>750</v>
      </c>
    </row>
    <row r="493" spans="1:2" x14ac:dyDescent="0.3">
      <c r="A493" s="28" t="s">
        <v>1387</v>
      </c>
      <c r="B493" s="28" t="s">
        <v>1388</v>
      </c>
    </row>
    <row r="494" spans="1:2" x14ac:dyDescent="0.3">
      <c r="A494" s="28" t="s">
        <v>1389</v>
      </c>
      <c r="B494" s="28" t="s">
        <v>1390</v>
      </c>
    </row>
    <row r="495" spans="1:2" x14ac:dyDescent="0.3">
      <c r="A495" s="28" t="s">
        <v>1391</v>
      </c>
      <c r="B495" s="28" t="s">
        <v>912</v>
      </c>
    </row>
    <row r="496" spans="1:2" x14ac:dyDescent="0.3">
      <c r="A496" s="28" t="s">
        <v>1392</v>
      </c>
      <c r="B496" s="28" t="s">
        <v>1393</v>
      </c>
    </row>
    <row r="497" spans="1:2" x14ac:dyDescent="0.3">
      <c r="A497" s="28" t="s">
        <v>1394</v>
      </c>
      <c r="B497" s="28" t="s">
        <v>1395</v>
      </c>
    </row>
    <row r="498" spans="1:2" x14ac:dyDescent="0.3">
      <c r="A498" s="28" t="s">
        <v>1396</v>
      </c>
      <c r="B498" s="28" t="s">
        <v>1397</v>
      </c>
    </row>
    <row r="499" spans="1:2" x14ac:dyDescent="0.3">
      <c r="A499" s="28" t="s">
        <v>1398</v>
      </c>
      <c r="B499" s="28" t="s">
        <v>1399</v>
      </c>
    </row>
    <row r="500" spans="1:2" x14ac:dyDescent="0.3">
      <c r="A500" s="28" t="s">
        <v>1400</v>
      </c>
      <c r="B500" s="28" t="s">
        <v>1401</v>
      </c>
    </row>
    <row r="501" spans="1:2" x14ac:dyDescent="0.3">
      <c r="A501" s="28" t="s">
        <v>1402</v>
      </c>
      <c r="B501" s="28" t="s">
        <v>1403</v>
      </c>
    </row>
    <row r="502" spans="1:2" x14ac:dyDescent="0.3">
      <c r="A502" s="28" t="s">
        <v>1404</v>
      </c>
      <c r="B502" s="28" t="s">
        <v>1405</v>
      </c>
    </row>
    <row r="503" spans="1:2" x14ac:dyDescent="0.3">
      <c r="A503" s="28" t="s">
        <v>1406</v>
      </c>
      <c r="B503" s="28" t="s">
        <v>1407</v>
      </c>
    </row>
    <row r="504" spans="1:2" x14ac:dyDescent="0.3">
      <c r="A504" s="28" t="s">
        <v>1408</v>
      </c>
      <c r="B504" s="28" t="s">
        <v>1409</v>
      </c>
    </row>
    <row r="505" spans="1:2" x14ac:dyDescent="0.3">
      <c r="A505" s="28" t="s">
        <v>1410</v>
      </c>
      <c r="B505" s="28" t="s">
        <v>1411</v>
      </c>
    </row>
    <row r="506" spans="1:2" x14ac:dyDescent="0.3">
      <c r="A506" s="28" t="s">
        <v>1412</v>
      </c>
      <c r="B506" s="28" t="s">
        <v>1413</v>
      </c>
    </row>
    <row r="507" spans="1:2" x14ac:dyDescent="0.3">
      <c r="A507" s="28" t="s">
        <v>1414</v>
      </c>
      <c r="B507" s="28" t="s">
        <v>570</v>
      </c>
    </row>
    <row r="508" spans="1:2" x14ac:dyDescent="0.3">
      <c r="A508" s="28" t="s">
        <v>1415</v>
      </c>
      <c r="B508" s="28" t="s">
        <v>1416</v>
      </c>
    </row>
    <row r="509" spans="1:2" x14ac:dyDescent="0.3">
      <c r="A509" s="28" t="s">
        <v>1417</v>
      </c>
      <c r="B509" s="28" t="s">
        <v>752</v>
      </c>
    </row>
    <row r="510" spans="1:2" x14ac:dyDescent="0.3">
      <c r="A510" s="28" t="s">
        <v>1418</v>
      </c>
      <c r="B510" s="28" t="s">
        <v>1419</v>
      </c>
    </row>
    <row r="511" spans="1:2" x14ac:dyDescent="0.3">
      <c r="A511" s="28" t="s">
        <v>1420</v>
      </c>
      <c r="B511" s="28" t="s">
        <v>1421</v>
      </c>
    </row>
    <row r="512" spans="1:2" x14ac:dyDescent="0.3">
      <c r="A512" s="28" t="s">
        <v>1422</v>
      </c>
      <c r="B512" s="28" t="s">
        <v>1423</v>
      </c>
    </row>
    <row r="513" spans="1:2" x14ac:dyDescent="0.3">
      <c r="A513" s="28" t="s">
        <v>1424</v>
      </c>
      <c r="B513" s="28" t="s">
        <v>1425</v>
      </c>
    </row>
    <row r="514" spans="1:2" x14ac:dyDescent="0.3">
      <c r="A514" s="28" t="s">
        <v>1426</v>
      </c>
      <c r="B514" s="28" t="s">
        <v>1427</v>
      </c>
    </row>
    <row r="515" spans="1:2" x14ac:dyDescent="0.3">
      <c r="A515" s="28" t="s">
        <v>1428</v>
      </c>
      <c r="B515" s="28" t="s">
        <v>1429</v>
      </c>
    </row>
    <row r="516" spans="1:2" x14ac:dyDescent="0.3">
      <c r="A516" s="28" t="s">
        <v>1430</v>
      </c>
      <c r="B516" s="28" t="s">
        <v>1431</v>
      </c>
    </row>
    <row r="517" spans="1:2" x14ac:dyDescent="0.3">
      <c r="A517" s="28" t="s">
        <v>1432</v>
      </c>
      <c r="B517" s="28" t="s">
        <v>1433</v>
      </c>
    </row>
    <row r="518" spans="1:2" x14ac:dyDescent="0.3">
      <c r="A518" s="28" t="s">
        <v>1434</v>
      </c>
      <c r="B518" s="28" t="s">
        <v>1435</v>
      </c>
    </row>
    <row r="519" spans="1:2" x14ac:dyDescent="0.3">
      <c r="A519" s="28" t="s">
        <v>1436</v>
      </c>
      <c r="B519" s="28" t="s">
        <v>1437</v>
      </c>
    </row>
    <row r="520" spans="1:2" x14ac:dyDescent="0.3">
      <c r="A520" s="28" t="s">
        <v>1438</v>
      </c>
      <c r="B520" s="28" t="s">
        <v>1439</v>
      </c>
    </row>
    <row r="521" spans="1:2" x14ac:dyDescent="0.3">
      <c r="A521" s="28" t="s">
        <v>1440</v>
      </c>
      <c r="B521" s="28" t="s">
        <v>1441</v>
      </c>
    </row>
    <row r="522" spans="1:2" x14ac:dyDescent="0.3">
      <c r="A522" s="28" t="s">
        <v>1442</v>
      </c>
      <c r="B522" s="28" t="s">
        <v>594</v>
      </c>
    </row>
    <row r="523" spans="1:2" x14ac:dyDescent="0.3">
      <c r="A523" s="28" t="s">
        <v>1443</v>
      </c>
      <c r="B523" s="28" t="s">
        <v>1444</v>
      </c>
    </row>
    <row r="524" spans="1:2" x14ac:dyDescent="0.3">
      <c r="A524" s="28" t="s">
        <v>1445</v>
      </c>
      <c r="B524" s="28" t="s">
        <v>1446</v>
      </c>
    </row>
    <row r="525" spans="1:2" x14ac:dyDescent="0.3">
      <c r="A525" s="28" t="s">
        <v>1447</v>
      </c>
      <c r="B525" s="28" t="s">
        <v>1448</v>
      </c>
    </row>
    <row r="526" spans="1:2" x14ac:dyDescent="0.3">
      <c r="A526" s="28" t="s">
        <v>1449</v>
      </c>
      <c r="B526" s="28" t="s">
        <v>1450</v>
      </c>
    </row>
    <row r="527" spans="1:2" x14ac:dyDescent="0.3">
      <c r="A527" s="28" t="s">
        <v>1451</v>
      </c>
      <c r="B527" s="28" t="s">
        <v>1452</v>
      </c>
    </row>
    <row r="528" spans="1:2" x14ac:dyDescent="0.3">
      <c r="A528" s="28" t="s">
        <v>1453</v>
      </c>
      <c r="B528" s="28" t="s">
        <v>1454</v>
      </c>
    </row>
    <row r="529" spans="1:2" x14ac:dyDescent="0.3">
      <c r="A529" s="28" t="s">
        <v>1455</v>
      </c>
      <c r="B529" s="28" t="s">
        <v>1456</v>
      </c>
    </row>
    <row r="530" spans="1:2" x14ac:dyDescent="0.3">
      <c r="A530" s="28" t="s">
        <v>1457</v>
      </c>
      <c r="B530" s="28" t="s">
        <v>1458</v>
      </c>
    </row>
    <row r="531" spans="1:2" x14ac:dyDescent="0.3">
      <c r="A531" s="28" t="s">
        <v>1459</v>
      </c>
      <c r="B531" s="28" t="s">
        <v>1460</v>
      </c>
    </row>
    <row r="532" spans="1:2" x14ac:dyDescent="0.3">
      <c r="A532" s="28" t="s">
        <v>1461</v>
      </c>
      <c r="B532" s="28" t="s">
        <v>1462</v>
      </c>
    </row>
    <row r="533" spans="1:2" x14ac:dyDescent="0.3">
      <c r="A533" s="28" t="s">
        <v>1463</v>
      </c>
      <c r="B533" s="28" t="s">
        <v>1464</v>
      </c>
    </row>
    <row r="534" spans="1:2" x14ac:dyDescent="0.3">
      <c r="A534" s="28" t="s">
        <v>1465</v>
      </c>
      <c r="B534" s="28" t="s">
        <v>1466</v>
      </c>
    </row>
    <row r="535" spans="1:2" x14ac:dyDescent="0.3">
      <c r="A535" s="28" t="s">
        <v>1467</v>
      </c>
      <c r="B535" s="28" t="s">
        <v>748</v>
      </c>
    </row>
    <row r="536" spans="1:2" x14ac:dyDescent="0.3">
      <c r="A536" s="28" t="s">
        <v>1468</v>
      </c>
      <c r="B536" s="28" t="s">
        <v>876</v>
      </c>
    </row>
    <row r="537" spans="1:2" x14ac:dyDescent="0.3">
      <c r="A537" s="28" t="s">
        <v>1469</v>
      </c>
      <c r="B537" s="28" t="s">
        <v>1470</v>
      </c>
    </row>
    <row r="538" spans="1:2" x14ac:dyDescent="0.3">
      <c r="A538" s="28" t="s">
        <v>1471</v>
      </c>
      <c r="B538" s="28" t="s">
        <v>1472</v>
      </c>
    </row>
    <row r="539" spans="1:2" x14ac:dyDescent="0.3">
      <c r="A539" s="28" t="s">
        <v>1473</v>
      </c>
      <c r="B539" s="28" t="s">
        <v>1474</v>
      </c>
    </row>
    <row r="540" spans="1:2" x14ac:dyDescent="0.3">
      <c r="A540" s="28" t="s">
        <v>1475</v>
      </c>
      <c r="B540" s="28" t="s">
        <v>1476</v>
      </c>
    </row>
    <row r="541" spans="1:2" x14ac:dyDescent="0.3">
      <c r="A541" s="28" t="s">
        <v>1477</v>
      </c>
      <c r="B541" s="28" t="s">
        <v>1478</v>
      </c>
    </row>
    <row r="542" spans="1:2" x14ac:dyDescent="0.3">
      <c r="A542" s="28" t="s">
        <v>1479</v>
      </c>
      <c r="B542" s="28" t="s">
        <v>1480</v>
      </c>
    </row>
    <row r="543" spans="1:2" x14ac:dyDescent="0.3">
      <c r="A543" s="28" t="s">
        <v>1481</v>
      </c>
      <c r="B543" s="28" t="s">
        <v>1482</v>
      </c>
    </row>
    <row r="544" spans="1:2" x14ac:dyDescent="0.3">
      <c r="A544" s="28" t="s">
        <v>1483</v>
      </c>
      <c r="B544" s="28" t="s">
        <v>1484</v>
      </c>
    </row>
    <row r="545" spans="1:2" x14ac:dyDescent="0.3">
      <c r="A545" s="28" t="s">
        <v>1485</v>
      </c>
      <c r="B545" s="28" t="s">
        <v>1486</v>
      </c>
    </row>
    <row r="546" spans="1:2" x14ac:dyDescent="0.3">
      <c r="A546" s="28" t="s">
        <v>1487</v>
      </c>
      <c r="B546" s="28" t="s">
        <v>1488</v>
      </c>
    </row>
    <row r="547" spans="1:2" x14ac:dyDescent="0.3">
      <c r="A547" s="28" t="s">
        <v>1489</v>
      </c>
      <c r="B547" s="28" t="s">
        <v>1490</v>
      </c>
    </row>
    <row r="548" spans="1:2" x14ac:dyDescent="0.3">
      <c r="A548" s="28" t="s">
        <v>1491</v>
      </c>
      <c r="B548" s="28" t="s">
        <v>1492</v>
      </c>
    </row>
    <row r="549" spans="1:2" x14ac:dyDescent="0.3">
      <c r="A549" s="28" t="s">
        <v>1493</v>
      </c>
      <c r="B549" s="28" t="s">
        <v>1494</v>
      </c>
    </row>
    <row r="550" spans="1:2" x14ac:dyDescent="0.3">
      <c r="A550" s="28" t="s">
        <v>1495</v>
      </c>
      <c r="B550" s="28" t="s">
        <v>1496</v>
      </c>
    </row>
    <row r="551" spans="1:2" x14ac:dyDescent="0.3">
      <c r="A551" s="28" t="s">
        <v>1497</v>
      </c>
      <c r="B551" s="28" t="s">
        <v>1498</v>
      </c>
    </row>
    <row r="552" spans="1:2" x14ac:dyDescent="0.3">
      <c r="A552" s="28" t="s">
        <v>1499</v>
      </c>
      <c r="B552" s="28" t="s">
        <v>1500</v>
      </c>
    </row>
    <row r="553" spans="1:2" x14ac:dyDescent="0.3">
      <c r="A553" s="28" t="s">
        <v>1501</v>
      </c>
      <c r="B553" s="28" t="s">
        <v>1502</v>
      </c>
    </row>
    <row r="554" spans="1:2" x14ac:dyDescent="0.3">
      <c r="A554" s="28" t="s">
        <v>1503</v>
      </c>
      <c r="B554" s="28" t="s">
        <v>1504</v>
      </c>
    </row>
    <row r="555" spans="1:2" x14ac:dyDescent="0.3">
      <c r="A555" s="28" t="s">
        <v>1505</v>
      </c>
      <c r="B555" s="28" t="s">
        <v>1506</v>
      </c>
    </row>
    <row r="556" spans="1:2" x14ac:dyDescent="0.3">
      <c r="A556" s="28" t="s">
        <v>1507</v>
      </c>
      <c r="B556" s="28" t="s">
        <v>1508</v>
      </c>
    </row>
    <row r="557" spans="1:2" x14ac:dyDescent="0.3">
      <c r="A557" s="28" t="s">
        <v>1509</v>
      </c>
      <c r="B557" s="28" t="s">
        <v>1510</v>
      </c>
    </row>
    <row r="558" spans="1:2" x14ac:dyDescent="0.3">
      <c r="A558" s="28" t="s">
        <v>1511</v>
      </c>
      <c r="B558" s="28" t="s">
        <v>1051</v>
      </c>
    </row>
    <row r="559" spans="1:2" x14ac:dyDescent="0.3">
      <c r="A559" s="28" t="s">
        <v>1512</v>
      </c>
      <c r="B559" s="28" t="s">
        <v>1513</v>
      </c>
    </row>
    <row r="560" spans="1:2" x14ac:dyDescent="0.3">
      <c r="A560" s="28" t="s">
        <v>1514</v>
      </c>
      <c r="B560" s="28" t="s">
        <v>1515</v>
      </c>
    </row>
    <row r="561" spans="1:2" x14ac:dyDescent="0.3">
      <c r="A561" s="28" t="s">
        <v>1516</v>
      </c>
      <c r="B561" s="28" t="s">
        <v>1517</v>
      </c>
    </row>
    <row r="562" spans="1:2" x14ac:dyDescent="0.3">
      <c r="A562" s="28" t="s">
        <v>1518</v>
      </c>
      <c r="B562" s="28" t="s">
        <v>1519</v>
      </c>
    </row>
    <row r="563" spans="1:2" x14ac:dyDescent="0.3">
      <c r="A563" s="28" t="s">
        <v>1520</v>
      </c>
      <c r="B563" s="28" t="s">
        <v>1521</v>
      </c>
    </row>
    <row r="564" spans="1:2" x14ac:dyDescent="0.3">
      <c r="A564" s="28" t="s">
        <v>1522</v>
      </c>
      <c r="B564" s="28" t="s">
        <v>1523</v>
      </c>
    </row>
    <row r="565" spans="1:2" x14ac:dyDescent="0.3">
      <c r="A565" s="28" t="s">
        <v>1524</v>
      </c>
      <c r="B565" s="28" t="s">
        <v>1525</v>
      </c>
    </row>
    <row r="566" spans="1:2" x14ac:dyDescent="0.3">
      <c r="A566" s="28" t="s">
        <v>1526</v>
      </c>
      <c r="B566" s="28" t="s">
        <v>1527</v>
      </c>
    </row>
    <row r="567" spans="1:2" x14ac:dyDescent="0.3">
      <c r="A567" s="28" t="s">
        <v>1528</v>
      </c>
      <c r="B567" s="28" t="s">
        <v>1529</v>
      </c>
    </row>
    <row r="568" spans="1:2" x14ac:dyDescent="0.3">
      <c r="A568" s="28" t="s">
        <v>1530</v>
      </c>
      <c r="B568" s="28" t="s">
        <v>1531</v>
      </c>
    </row>
    <row r="569" spans="1:2" x14ac:dyDescent="0.3">
      <c r="A569" s="28" t="s">
        <v>1532</v>
      </c>
      <c r="B569" s="28" t="s">
        <v>1533</v>
      </c>
    </row>
    <row r="570" spans="1:2" x14ac:dyDescent="0.3">
      <c r="A570" s="28" t="s">
        <v>1534</v>
      </c>
      <c r="B570" s="28" t="s">
        <v>1535</v>
      </c>
    </row>
    <row r="571" spans="1:2" x14ac:dyDescent="0.3">
      <c r="A571" s="28" t="s">
        <v>1536</v>
      </c>
      <c r="B571" s="28" t="s">
        <v>1537</v>
      </c>
    </row>
    <row r="572" spans="1:2" x14ac:dyDescent="0.3">
      <c r="A572" s="28" t="s">
        <v>1538</v>
      </c>
      <c r="B572" s="28" t="s">
        <v>1539</v>
      </c>
    </row>
    <row r="573" spans="1:2" x14ac:dyDescent="0.3">
      <c r="A573" s="28" t="s">
        <v>1540</v>
      </c>
      <c r="B573" s="28" t="s">
        <v>1541</v>
      </c>
    </row>
    <row r="574" spans="1:2" x14ac:dyDescent="0.3">
      <c r="A574" s="28" t="s">
        <v>1542</v>
      </c>
      <c r="B574" s="28" t="s">
        <v>532</v>
      </c>
    </row>
    <row r="575" spans="1:2" x14ac:dyDescent="0.3">
      <c r="A575" s="28" t="s">
        <v>1543</v>
      </c>
      <c r="B575" s="28" t="s">
        <v>1544</v>
      </c>
    </row>
    <row r="576" spans="1:2" x14ac:dyDescent="0.3">
      <c r="A576" s="28" t="s">
        <v>1545</v>
      </c>
      <c r="B576" s="28" t="s">
        <v>1546</v>
      </c>
    </row>
    <row r="577" spans="1:2" x14ac:dyDescent="0.3">
      <c r="A577" s="28" t="s">
        <v>1547</v>
      </c>
      <c r="B577" s="28" t="s">
        <v>1548</v>
      </c>
    </row>
    <row r="578" spans="1:2" x14ac:dyDescent="0.3">
      <c r="A578" s="28" t="s">
        <v>1549</v>
      </c>
      <c r="B578" s="28" t="s">
        <v>1550</v>
      </c>
    </row>
    <row r="579" spans="1:2" x14ac:dyDescent="0.3">
      <c r="A579" s="28" t="s">
        <v>1551</v>
      </c>
      <c r="B579" s="28" t="s">
        <v>1552</v>
      </c>
    </row>
    <row r="580" spans="1:2" x14ac:dyDescent="0.3">
      <c r="A580" s="28" t="s">
        <v>1553</v>
      </c>
      <c r="B580" s="28" t="s">
        <v>1554</v>
      </c>
    </row>
    <row r="581" spans="1:2" x14ac:dyDescent="0.3">
      <c r="A581" s="28" t="s">
        <v>1555</v>
      </c>
      <c r="B581" s="28" t="s">
        <v>1556</v>
      </c>
    </row>
    <row r="582" spans="1:2" x14ac:dyDescent="0.3">
      <c r="A582" s="28" t="s">
        <v>1557</v>
      </c>
      <c r="B582" s="28" t="s">
        <v>1558</v>
      </c>
    </row>
    <row r="583" spans="1:2" x14ac:dyDescent="0.3">
      <c r="A583" s="28" t="s">
        <v>1559</v>
      </c>
      <c r="B583" s="28" t="s">
        <v>1560</v>
      </c>
    </row>
    <row r="584" spans="1:2" x14ac:dyDescent="0.3">
      <c r="A584" s="28" t="s">
        <v>1561</v>
      </c>
      <c r="B584" s="28" t="s">
        <v>1562</v>
      </c>
    </row>
    <row r="585" spans="1:2" x14ac:dyDescent="0.3">
      <c r="A585" s="28" t="s">
        <v>1563</v>
      </c>
      <c r="B585" s="28" t="s">
        <v>1564</v>
      </c>
    </row>
    <row r="586" spans="1:2" x14ac:dyDescent="0.3">
      <c r="A586" s="28" t="s">
        <v>1565</v>
      </c>
      <c r="B586" s="28" t="s">
        <v>1566</v>
      </c>
    </row>
    <row r="587" spans="1:2" x14ac:dyDescent="0.3">
      <c r="A587" s="28" t="s">
        <v>1567</v>
      </c>
      <c r="B587" s="28" t="s">
        <v>1568</v>
      </c>
    </row>
    <row r="588" spans="1:2" x14ac:dyDescent="0.3">
      <c r="A588" s="28" t="s">
        <v>1569</v>
      </c>
      <c r="B588" s="28" t="s">
        <v>1570</v>
      </c>
    </row>
    <row r="589" spans="1:2" x14ac:dyDescent="0.3">
      <c r="A589" s="28" t="s">
        <v>1571</v>
      </c>
      <c r="B589" s="28" t="s">
        <v>1572</v>
      </c>
    </row>
    <row r="590" spans="1:2" x14ac:dyDescent="0.3">
      <c r="A590" s="28" t="s">
        <v>1573</v>
      </c>
      <c r="B590" s="28" t="s">
        <v>1574</v>
      </c>
    </row>
    <row r="591" spans="1:2" x14ac:dyDescent="0.3">
      <c r="A591" s="28" t="s">
        <v>1575</v>
      </c>
      <c r="B591" s="28" t="s">
        <v>1576</v>
      </c>
    </row>
    <row r="592" spans="1:2" x14ac:dyDescent="0.3">
      <c r="A592" s="28" t="s">
        <v>1577</v>
      </c>
      <c r="B592" s="28" t="s">
        <v>1578</v>
      </c>
    </row>
    <row r="593" spans="1:2" x14ac:dyDescent="0.3">
      <c r="A593" s="28" t="s">
        <v>1579</v>
      </c>
      <c r="B593" s="28" t="s">
        <v>1580</v>
      </c>
    </row>
    <row r="594" spans="1:2" x14ac:dyDescent="0.3">
      <c r="A594" s="28" t="s">
        <v>1581</v>
      </c>
      <c r="B594" s="28" t="s">
        <v>1582</v>
      </c>
    </row>
    <row r="595" spans="1:2" x14ac:dyDescent="0.3">
      <c r="A595" s="28" t="s">
        <v>1583</v>
      </c>
      <c r="B595" s="28" t="s">
        <v>1584</v>
      </c>
    </row>
    <row r="596" spans="1:2" x14ac:dyDescent="0.3">
      <c r="A596" s="28" t="s">
        <v>1585</v>
      </c>
      <c r="B596" s="28" t="s">
        <v>1586</v>
      </c>
    </row>
    <row r="597" spans="1:2" x14ac:dyDescent="0.3">
      <c r="A597" s="28" t="s">
        <v>1587</v>
      </c>
      <c r="B597" s="28" t="s">
        <v>1588</v>
      </c>
    </row>
    <row r="598" spans="1:2" x14ac:dyDescent="0.3">
      <c r="A598" s="28" t="s">
        <v>1589</v>
      </c>
      <c r="B598" s="28" t="s">
        <v>1590</v>
      </c>
    </row>
    <row r="599" spans="1:2" x14ac:dyDescent="0.3">
      <c r="A599" s="28" t="s">
        <v>1591</v>
      </c>
      <c r="B599" s="28" t="s">
        <v>1592</v>
      </c>
    </row>
    <row r="600" spans="1:2" x14ac:dyDescent="0.3">
      <c r="A600" s="28" t="s">
        <v>1593</v>
      </c>
      <c r="B600" s="28" t="s">
        <v>1594</v>
      </c>
    </row>
    <row r="601" spans="1:2" x14ac:dyDescent="0.3">
      <c r="A601" s="28" t="s">
        <v>1595</v>
      </c>
      <c r="B601" s="28" t="s">
        <v>1596</v>
      </c>
    </row>
    <row r="602" spans="1:2" x14ac:dyDescent="0.3">
      <c r="A602" s="28" t="s">
        <v>1597</v>
      </c>
      <c r="B602" s="28" t="s">
        <v>1598</v>
      </c>
    </row>
    <row r="603" spans="1:2" x14ac:dyDescent="0.3">
      <c r="A603" s="28" t="s">
        <v>1599</v>
      </c>
      <c r="B603" s="28" t="s">
        <v>1600</v>
      </c>
    </row>
    <row r="604" spans="1:2" x14ac:dyDescent="0.3">
      <c r="A604" s="28" t="s">
        <v>1601</v>
      </c>
      <c r="B604" s="28" t="s">
        <v>1602</v>
      </c>
    </row>
    <row r="605" spans="1:2" x14ac:dyDescent="0.3">
      <c r="A605" s="28" t="s">
        <v>1603</v>
      </c>
      <c r="B605" s="28" t="s">
        <v>674</v>
      </c>
    </row>
    <row r="606" spans="1:2" x14ac:dyDescent="0.3">
      <c r="A606" s="28" t="s">
        <v>1604</v>
      </c>
      <c r="B606" s="28" t="s">
        <v>1605</v>
      </c>
    </row>
    <row r="607" spans="1:2" x14ac:dyDescent="0.3">
      <c r="A607" s="28" t="s">
        <v>1606</v>
      </c>
      <c r="B607" s="28" t="s">
        <v>1607</v>
      </c>
    </row>
    <row r="608" spans="1:2" x14ac:dyDescent="0.3">
      <c r="A608" s="28" t="s">
        <v>1608</v>
      </c>
      <c r="B608" s="28" t="s">
        <v>1609</v>
      </c>
    </row>
    <row r="609" spans="1:2" x14ac:dyDescent="0.3">
      <c r="A609" s="28" t="s">
        <v>1610</v>
      </c>
      <c r="B609" s="28" t="s">
        <v>1611</v>
      </c>
    </row>
    <row r="610" spans="1:2" x14ac:dyDescent="0.3">
      <c r="A610" s="28" t="s">
        <v>1612</v>
      </c>
      <c r="B610" s="28" t="s">
        <v>1613</v>
      </c>
    </row>
    <row r="611" spans="1:2" x14ac:dyDescent="0.3">
      <c r="A611" s="28" t="s">
        <v>1614</v>
      </c>
      <c r="B611" s="28" t="s">
        <v>1615</v>
      </c>
    </row>
    <row r="612" spans="1:2" x14ac:dyDescent="0.3">
      <c r="A612" s="28" t="s">
        <v>1616</v>
      </c>
      <c r="B612" s="28" t="s">
        <v>1617</v>
      </c>
    </row>
    <row r="613" spans="1:2" x14ac:dyDescent="0.3">
      <c r="A613" s="28" t="s">
        <v>1618</v>
      </c>
      <c r="B613" s="28" t="s">
        <v>1619</v>
      </c>
    </row>
    <row r="614" spans="1:2" x14ac:dyDescent="0.3">
      <c r="A614" s="28" t="s">
        <v>1620</v>
      </c>
      <c r="B614" s="28" t="s">
        <v>1621</v>
      </c>
    </row>
    <row r="615" spans="1:2" x14ac:dyDescent="0.3">
      <c r="A615" s="28" t="s">
        <v>1622</v>
      </c>
      <c r="B615" s="28" t="s">
        <v>596</v>
      </c>
    </row>
    <row r="616" spans="1:2" x14ac:dyDescent="0.3">
      <c r="A616" s="28" t="s">
        <v>1623</v>
      </c>
      <c r="B616" s="28" t="s">
        <v>1624</v>
      </c>
    </row>
    <row r="617" spans="1:2" x14ac:dyDescent="0.3">
      <c r="A617" s="28" t="s">
        <v>1625</v>
      </c>
      <c r="B617" s="28" t="s">
        <v>1626</v>
      </c>
    </row>
    <row r="618" spans="1:2" x14ac:dyDescent="0.3">
      <c r="A618" s="28" t="s">
        <v>1627</v>
      </c>
      <c r="B618" s="28" t="s">
        <v>1628</v>
      </c>
    </row>
    <row r="619" spans="1:2" x14ac:dyDescent="0.3">
      <c r="A619" s="28" t="s">
        <v>1629</v>
      </c>
      <c r="B619" s="28" t="s">
        <v>1630</v>
      </c>
    </row>
    <row r="620" spans="1:2" x14ac:dyDescent="0.3">
      <c r="A620" s="28" t="s">
        <v>1631</v>
      </c>
      <c r="B620" s="28" t="s">
        <v>902</v>
      </c>
    </row>
    <row r="621" spans="1:2" x14ac:dyDescent="0.3">
      <c r="A621" s="28" t="s">
        <v>1632</v>
      </c>
      <c r="B621" s="28" t="s">
        <v>1633</v>
      </c>
    </row>
    <row r="622" spans="1:2" x14ac:dyDescent="0.3">
      <c r="A622" s="28" t="s">
        <v>1634</v>
      </c>
      <c r="B622" s="28" t="s">
        <v>1635</v>
      </c>
    </row>
    <row r="623" spans="1:2" x14ac:dyDescent="0.3">
      <c r="A623" s="28" t="s">
        <v>1636</v>
      </c>
      <c r="B623" s="28" t="s">
        <v>1637</v>
      </c>
    </row>
    <row r="624" spans="1:2" x14ac:dyDescent="0.3">
      <c r="A624" s="28" t="s">
        <v>1638</v>
      </c>
      <c r="B624" s="28" t="s">
        <v>1639</v>
      </c>
    </row>
    <row r="625" spans="1:2" x14ac:dyDescent="0.3">
      <c r="A625" s="28" t="s">
        <v>1640</v>
      </c>
      <c r="B625" s="28" t="s">
        <v>1641</v>
      </c>
    </row>
    <row r="626" spans="1:2" x14ac:dyDescent="0.3">
      <c r="A626" s="28" t="s">
        <v>1642</v>
      </c>
      <c r="B626" s="28" t="s">
        <v>1643</v>
      </c>
    </row>
    <row r="627" spans="1:2" x14ac:dyDescent="0.3">
      <c r="A627" s="28" t="s">
        <v>1644</v>
      </c>
      <c r="B627" s="28" t="s">
        <v>1645</v>
      </c>
    </row>
    <row r="628" spans="1:2" x14ac:dyDescent="0.3">
      <c r="A628" s="28" t="s">
        <v>1646</v>
      </c>
      <c r="B628" s="28" t="s">
        <v>1647</v>
      </c>
    </row>
    <row r="629" spans="1:2" x14ac:dyDescent="0.3">
      <c r="A629" s="28" t="s">
        <v>1648</v>
      </c>
      <c r="B629" s="28" t="s">
        <v>1649</v>
      </c>
    </row>
    <row r="630" spans="1:2" x14ac:dyDescent="0.3">
      <c r="A630" s="28" t="s">
        <v>1650</v>
      </c>
      <c r="B630" s="28" t="s">
        <v>1651</v>
      </c>
    </row>
    <row r="631" spans="1:2" x14ac:dyDescent="0.3">
      <c r="A631" s="28" t="s">
        <v>1652</v>
      </c>
      <c r="B631" s="28" t="s">
        <v>1653</v>
      </c>
    </row>
    <row r="632" spans="1:2" x14ac:dyDescent="0.3">
      <c r="A632" s="28" t="s">
        <v>1654</v>
      </c>
      <c r="B632" s="28" t="s">
        <v>1655</v>
      </c>
    </row>
    <row r="633" spans="1:2" x14ac:dyDescent="0.3">
      <c r="A633" s="28" t="s">
        <v>1656</v>
      </c>
      <c r="B633" s="28" t="s">
        <v>1657</v>
      </c>
    </row>
    <row r="634" spans="1:2" x14ac:dyDescent="0.3">
      <c r="A634" s="28" t="s">
        <v>1658</v>
      </c>
      <c r="B634" s="28" t="s">
        <v>588</v>
      </c>
    </row>
    <row r="635" spans="1:2" x14ac:dyDescent="0.3">
      <c r="A635" s="28" t="s">
        <v>1659</v>
      </c>
      <c r="B635" s="28" t="s">
        <v>1660</v>
      </c>
    </row>
    <row r="636" spans="1:2" x14ac:dyDescent="0.3">
      <c r="A636" s="28" t="s">
        <v>1661</v>
      </c>
      <c r="B636" s="28" t="s">
        <v>1662</v>
      </c>
    </row>
    <row r="637" spans="1:2" x14ac:dyDescent="0.3">
      <c r="A637" s="28" t="s">
        <v>1663</v>
      </c>
      <c r="B637" s="28" t="s">
        <v>1664</v>
      </c>
    </row>
    <row r="638" spans="1:2" x14ac:dyDescent="0.3">
      <c r="A638" s="28" t="s">
        <v>1665</v>
      </c>
      <c r="B638" s="28" t="s">
        <v>1666</v>
      </c>
    </row>
    <row r="639" spans="1:2" x14ac:dyDescent="0.3">
      <c r="A639" s="28" t="s">
        <v>1667</v>
      </c>
      <c r="B639" s="28" t="s">
        <v>1668</v>
      </c>
    </row>
    <row r="640" spans="1:2" x14ac:dyDescent="0.3">
      <c r="A640" s="28" t="s">
        <v>1669</v>
      </c>
      <c r="B640" s="28" t="s">
        <v>740</v>
      </c>
    </row>
    <row r="641" spans="1:2" x14ac:dyDescent="0.3">
      <c r="A641" s="28" t="s">
        <v>1670</v>
      </c>
      <c r="B641" s="28" t="s">
        <v>1671</v>
      </c>
    </row>
    <row r="642" spans="1:2" x14ac:dyDescent="0.3">
      <c r="A642" s="28" t="s">
        <v>1672</v>
      </c>
      <c r="B642" s="28" t="s">
        <v>1673</v>
      </c>
    </row>
    <row r="643" spans="1:2" x14ac:dyDescent="0.3">
      <c r="A643" s="28" t="s">
        <v>1674</v>
      </c>
      <c r="B643" s="28" t="s">
        <v>1675</v>
      </c>
    </row>
    <row r="644" spans="1:2" x14ac:dyDescent="0.3">
      <c r="A644" s="28" t="s">
        <v>1676</v>
      </c>
      <c r="B644" s="28" t="s">
        <v>1677</v>
      </c>
    </row>
    <row r="645" spans="1:2" x14ac:dyDescent="0.3">
      <c r="A645" s="28" t="s">
        <v>1678</v>
      </c>
      <c r="B645" s="28" t="s">
        <v>1679</v>
      </c>
    </row>
    <row r="646" spans="1:2" x14ac:dyDescent="0.3">
      <c r="A646" s="28" t="s">
        <v>1680</v>
      </c>
      <c r="B646" s="28" t="s">
        <v>1681</v>
      </c>
    </row>
    <row r="647" spans="1:2" x14ac:dyDescent="0.3">
      <c r="A647" s="28" t="s">
        <v>1682</v>
      </c>
      <c r="B647" s="28" t="s">
        <v>1683</v>
      </c>
    </row>
    <row r="648" spans="1:2" x14ac:dyDescent="0.3">
      <c r="A648" s="28" t="s">
        <v>1684</v>
      </c>
      <c r="B648" s="28" t="s">
        <v>1685</v>
      </c>
    </row>
    <row r="649" spans="1:2" x14ac:dyDescent="0.3">
      <c r="A649" s="28" t="s">
        <v>1686</v>
      </c>
      <c r="B649" s="28" t="s">
        <v>1687</v>
      </c>
    </row>
    <row r="650" spans="1:2" x14ac:dyDescent="0.3">
      <c r="A650" s="28" t="s">
        <v>1688</v>
      </c>
      <c r="B650" s="28" t="s">
        <v>721</v>
      </c>
    </row>
    <row r="651" spans="1:2" x14ac:dyDescent="0.3">
      <c r="A651" s="28" t="s">
        <v>1689</v>
      </c>
      <c r="B651" s="28" t="s">
        <v>1690</v>
      </c>
    </row>
    <row r="652" spans="1:2" x14ac:dyDescent="0.3">
      <c r="A652" s="28" t="s">
        <v>1691</v>
      </c>
      <c r="B652" s="28" t="s">
        <v>1692</v>
      </c>
    </row>
    <row r="653" spans="1:2" x14ac:dyDescent="0.3">
      <c r="A653" s="28" t="s">
        <v>1693</v>
      </c>
      <c r="B653" s="28" t="s">
        <v>740</v>
      </c>
    </row>
    <row r="654" spans="1:2" x14ac:dyDescent="0.3">
      <c r="A654" s="28" t="s">
        <v>1694</v>
      </c>
      <c r="B654" s="28" t="s">
        <v>1695</v>
      </c>
    </row>
    <row r="655" spans="1:2" x14ac:dyDescent="0.3">
      <c r="A655" s="28" t="s">
        <v>1696</v>
      </c>
      <c r="B655" s="28" t="s">
        <v>1697</v>
      </c>
    </row>
    <row r="656" spans="1:2" x14ac:dyDescent="0.3">
      <c r="A656" s="28" t="s">
        <v>1698</v>
      </c>
      <c r="B656" s="28" t="s">
        <v>1699</v>
      </c>
    </row>
    <row r="657" spans="1:2" x14ac:dyDescent="0.3">
      <c r="A657" s="28" t="s">
        <v>1700</v>
      </c>
      <c r="B657" s="28" t="s">
        <v>1701</v>
      </c>
    </row>
    <row r="658" spans="1:2" x14ac:dyDescent="0.3">
      <c r="A658" s="28" t="s">
        <v>1702</v>
      </c>
      <c r="B658" s="28" t="s">
        <v>1703</v>
      </c>
    </row>
    <row r="659" spans="1:2" x14ac:dyDescent="0.3">
      <c r="A659" s="28" t="s">
        <v>1704</v>
      </c>
      <c r="B659" s="28" t="s">
        <v>1705</v>
      </c>
    </row>
    <row r="660" spans="1:2" x14ac:dyDescent="0.3">
      <c r="A660" s="28" t="s">
        <v>1706</v>
      </c>
      <c r="B660" s="28" t="s">
        <v>1707</v>
      </c>
    </row>
    <row r="661" spans="1:2" x14ac:dyDescent="0.3">
      <c r="A661" s="28" t="s">
        <v>1708</v>
      </c>
      <c r="B661" s="28" t="s">
        <v>1709</v>
      </c>
    </row>
    <row r="662" spans="1:2" x14ac:dyDescent="0.3">
      <c r="A662" s="28" t="s">
        <v>1710</v>
      </c>
      <c r="B662" s="28" t="s">
        <v>1711</v>
      </c>
    </row>
    <row r="663" spans="1:2" x14ac:dyDescent="0.3">
      <c r="A663" s="28" t="s">
        <v>1712</v>
      </c>
      <c r="B663" s="28" t="s">
        <v>1713</v>
      </c>
    </row>
    <row r="664" spans="1:2" x14ac:dyDescent="0.3">
      <c r="A664" s="28" t="s">
        <v>1714</v>
      </c>
      <c r="B664" s="28" t="s">
        <v>1715</v>
      </c>
    </row>
    <row r="665" spans="1:2" x14ac:dyDescent="0.3">
      <c r="A665" s="28" t="s">
        <v>1716</v>
      </c>
      <c r="B665" s="28" t="s">
        <v>1717</v>
      </c>
    </row>
    <row r="666" spans="1:2" x14ac:dyDescent="0.3">
      <c r="A666" s="28" t="s">
        <v>1718</v>
      </c>
      <c r="B666" s="28" t="s">
        <v>1719</v>
      </c>
    </row>
    <row r="667" spans="1:2" x14ac:dyDescent="0.3">
      <c r="A667" s="28" t="s">
        <v>1720</v>
      </c>
      <c r="B667" s="28" t="s">
        <v>1721</v>
      </c>
    </row>
    <row r="668" spans="1:2" x14ac:dyDescent="0.3">
      <c r="A668" s="28" t="s">
        <v>1722</v>
      </c>
      <c r="B668" s="28" t="s">
        <v>1723</v>
      </c>
    </row>
    <row r="669" spans="1:2" x14ac:dyDescent="0.3">
      <c r="A669" s="28" t="s">
        <v>1724</v>
      </c>
      <c r="B669" s="28" t="s">
        <v>1725</v>
      </c>
    </row>
    <row r="670" spans="1:2" x14ac:dyDescent="0.3">
      <c r="A670" s="28" t="s">
        <v>1726</v>
      </c>
      <c r="B670" s="28" t="s">
        <v>1727</v>
      </c>
    </row>
    <row r="671" spans="1:2" x14ac:dyDescent="0.3">
      <c r="A671" s="28" t="s">
        <v>1728</v>
      </c>
      <c r="B671" s="28" t="s">
        <v>1017</v>
      </c>
    </row>
    <row r="672" spans="1:2" x14ac:dyDescent="0.3">
      <c r="A672" s="28" t="s">
        <v>1729</v>
      </c>
      <c r="B672" s="28" t="s">
        <v>1730</v>
      </c>
    </row>
    <row r="673" spans="1:2" x14ac:dyDescent="0.3">
      <c r="A673" s="28" t="s">
        <v>1731</v>
      </c>
      <c r="B673" s="28" t="s">
        <v>1732</v>
      </c>
    </row>
    <row r="674" spans="1:2" x14ac:dyDescent="0.3">
      <c r="A674" s="28" t="s">
        <v>1733</v>
      </c>
      <c r="B674" s="28" t="s">
        <v>1734</v>
      </c>
    </row>
    <row r="675" spans="1:2" x14ac:dyDescent="0.3">
      <c r="A675" s="28" t="s">
        <v>1735</v>
      </c>
      <c r="B675" s="28" t="s">
        <v>1037</v>
      </c>
    </row>
    <row r="676" spans="1:2" x14ac:dyDescent="0.3">
      <c r="A676" s="28" t="s">
        <v>1736</v>
      </c>
      <c r="B676" s="28" t="s">
        <v>1737</v>
      </c>
    </row>
    <row r="677" spans="1:2" x14ac:dyDescent="0.3">
      <c r="A677" s="28" t="s">
        <v>1738</v>
      </c>
      <c r="B677" s="28" t="s">
        <v>1739</v>
      </c>
    </row>
    <row r="678" spans="1:2" x14ac:dyDescent="0.3">
      <c r="A678" s="28" t="s">
        <v>1740</v>
      </c>
      <c r="B678" s="28" t="s">
        <v>1741</v>
      </c>
    </row>
    <row r="679" spans="1:2" x14ac:dyDescent="0.3">
      <c r="A679" s="28" t="s">
        <v>1742</v>
      </c>
      <c r="B679" s="28" t="s">
        <v>1743</v>
      </c>
    </row>
    <row r="680" spans="1:2" x14ac:dyDescent="0.3">
      <c r="A680" s="28" t="s">
        <v>1744</v>
      </c>
      <c r="B680" s="28" t="s">
        <v>1745</v>
      </c>
    </row>
    <row r="681" spans="1:2" x14ac:dyDescent="0.3">
      <c r="A681" s="28" t="s">
        <v>1746</v>
      </c>
      <c r="B681" s="28" t="s">
        <v>1747</v>
      </c>
    </row>
    <row r="682" spans="1:2" x14ac:dyDescent="0.3">
      <c r="A682" s="28" t="s">
        <v>1748</v>
      </c>
      <c r="B682" s="28" t="s">
        <v>1749</v>
      </c>
    </row>
    <row r="683" spans="1:2" x14ac:dyDescent="0.3">
      <c r="A683" s="28" t="s">
        <v>1750</v>
      </c>
      <c r="B683" s="28" t="s">
        <v>1751</v>
      </c>
    </row>
    <row r="684" spans="1:2" x14ac:dyDescent="0.3">
      <c r="A684" s="28" t="s">
        <v>1752</v>
      </c>
      <c r="B684" s="28" t="s">
        <v>1753</v>
      </c>
    </row>
    <row r="685" spans="1:2" x14ac:dyDescent="0.3">
      <c r="A685" s="28" t="s">
        <v>1754</v>
      </c>
      <c r="B685" s="28" t="s">
        <v>1755</v>
      </c>
    </row>
    <row r="686" spans="1:2" x14ac:dyDescent="0.3">
      <c r="A686" s="28" t="s">
        <v>1756</v>
      </c>
      <c r="B686" s="28" t="s">
        <v>1757</v>
      </c>
    </row>
    <row r="687" spans="1:2" x14ac:dyDescent="0.3">
      <c r="A687" s="28" t="s">
        <v>1758</v>
      </c>
      <c r="B687" s="28" t="s">
        <v>1673</v>
      </c>
    </row>
    <row r="688" spans="1:2" x14ac:dyDescent="0.3">
      <c r="A688" s="28" t="s">
        <v>1759</v>
      </c>
      <c r="B688" s="28" t="s">
        <v>1760</v>
      </c>
    </row>
    <row r="689" spans="1:2" x14ac:dyDescent="0.3">
      <c r="A689" s="28" t="s">
        <v>1761</v>
      </c>
      <c r="B689" s="28" t="s">
        <v>1651</v>
      </c>
    </row>
    <row r="690" spans="1:2" x14ac:dyDescent="0.3">
      <c r="A690" s="28" t="s">
        <v>1762</v>
      </c>
      <c r="B690" s="28" t="s">
        <v>1763</v>
      </c>
    </row>
    <row r="691" spans="1:2" x14ac:dyDescent="0.3">
      <c r="A691" s="28" t="s">
        <v>1764</v>
      </c>
      <c r="B691" s="28" t="s">
        <v>1765</v>
      </c>
    </row>
    <row r="692" spans="1:2" x14ac:dyDescent="0.3">
      <c r="A692" s="28" t="s">
        <v>1766</v>
      </c>
      <c r="B692" s="28" t="s">
        <v>1767</v>
      </c>
    </row>
    <row r="693" spans="1:2" x14ac:dyDescent="0.3">
      <c r="A693" s="28" t="s">
        <v>1768</v>
      </c>
      <c r="B693" s="28" t="s">
        <v>1769</v>
      </c>
    </row>
    <row r="694" spans="1:2" x14ac:dyDescent="0.3">
      <c r="A694" s="28" t="s">
        <v>1770</v>
      </c>
      <c r="B694" s="28" t="s">
        <v>1771</v>
      </c>
    </row>
    <row r="695" spans="1:2" x14ac:dyDescent="0.3">
      <c r="A695" s="28" t="s">
        <v>1772</v>
      </c>
      <c r="B695" s="28" t="s">
        <v>1773</v>
      </c>
    </row>
    <row r="696" spans="1:2" x14ac:dyDescent="0.3">
      <c r="A696" s="28" t="s">
        <v>1774</v>
      </c>
      <c r="B696" s="28" t="s">
        <v>1775</v>
      </c>
    </row>
    <row r="697" spans="1:2" x14ac:dyDescent="0.3">
      <c r="A697" s="28" t="s">
        <v>1776</v>
      </c>
      <c r="B697" s="28" t="s">
        <v>1777</v>
      </c>
    </row>
    <row r="698" spans="1:2" x14ac:dyDescent="0.3">
      <c r="A698" s="28" t="s">
        <v>1778</v>
      </c>
      <c r="B698" s="28" t="s">
        <v>1779</v>
      </c>
    </row>
    <row r="699" spans="1:2" x14ac:dyDescent="0.3">
      <c r="A699" s="28" t="s">
        <v>1780</v>
      </c>
      <c r="B699" s="28" t="s">
        <v>1539</v>
      </c>
    </row>
    <row r="700" spans="1:2" x14ac:dyDescent="0.3">
      <c r="A700" s="28" t="s">
        <v>1781</v>
      </c>
      <c r="B700" s="28" t="s">
        <v>1782</v>
      </c>
    </row>
    <row r="701" spans="1:2" x14ac:dyDescent="0.3">
      <c r="A701" s="28" t="s">
        <v>1783</v>
      </c>
      <c r="B701" s="28" t="s">
        <v>414</v>
      </c>
    </row>
    <row r="702" spans="1:2" x14ac:dyDescent="0.3">
      <c r="A702" s="28" t="s">
        <v>1784</v>
      </c>
      <c r="B702" s="28" t="s">
        <v>1785</v>
      </c>
    </row>
    <row r="703" spans="1:2" x14ac:dyDescent="0.3">
      <c r="A703" s="28" t="s">
        <v>1786</v>
      </c>
      <c r="B703" s="28" t="s">
        <v>1787</v>
      </c>
    </row>
    <row r="704" spans="1:2" x14ac:dyDescent="0.3">
      <c r="A704" s="28" t="s">
        <v>1788</v>
      </c>
      <c r="B704" s="28" t="s">
        <v>1789</v>
      </c>
    </row>
    <row r="705" spans="1:2" x14ac:dyDescent="0.3">
      <c r="A705" s="28" t="s">
        <v>1790</v>
      </c>
      <c r="B705" s="28" t="s">
        <v>912</v>
      </c>
    </row>
    <row r="706" spans="1:2" x14ac:dyDescent="0.3">
      <c r="A706" s="28" t="s">
        <v>1791</v>
      </c>
      <c r="B706" s="28" t="s">
        <v>894</v>
      </c>
    </row>
    <row r="707" spans="1:2" x14ac:dyDescent="0.3">
      <c r="A707" s="28" t="s">
        <v>1792</v>
      </c>
      <c r="B707" s="28" t="s">
        <v>1793</v>
      </c>
    </row>
    <row r="708" spans="1:2" x14ac:dyDescent="0.3">
      <c r="A708" s="28" t="s">
        <v>1794</v>
      </c>
      <c r="B708" s="28" t="s">
        <v>1795</v>
      </c>
    </row>
    <row r="709" spans="1:2" x14ac:dyDescent="0.3">
      <c r="A709" s="28" t="s">
        <v>1796</v>
      </c>
      <c r="B709" s="28" t="s">
        <v>1797</v>
      </c>
    </row>
    <row r="710" spans="1:2" x14ac:dyDescent="0.3">
      <c r="A710" s="28" t="s">
        <v>1798</v>
      </c>
      <c r="B710" s="28" t="s">
        <v>1799</v>
      </c>
    </row>
    <row r="711" spans="1:2" x14ac:dyDescent="0.3">
      <c r="A711" s="28" t="s">
        <v>1800</v>
      </c>
      <c r="B711" s="28" t="s">
        <v>1801</v>
      </c>
    </row>
    <row r="712" spans="1:2" x14ac:dyDescent="0.3">
      <c r="A712" s="28" t="s">
        <v>1802</v>
      </c>
      <c r="B712" s="28" t="s">
        <v>1803</v>
      </c>
    </row>
    <row r="713" spans="1:2" x14ac:dyDescent="0.3">
      <c r="A713" s="28" t="s">
        <v>1804</v>
      </c>
      <c r="B713" s="28" t="s">
        <v>1805</v>
      </c>
    </row>
    <row r="714" spans="1:2" x14ac:dyDescent="0.3">
      <c r="A714" s="28" t="s">
        <v>1806</v>
      </c>
      <c r="B714" s="28" t="s">
        <v>590</v>
      </c>
    </row>
    <row r="715" spans="1:2" x14ac:dyDescent="0.3">
      <c r="A715" s="28" t="s">
        <v>1807</v>
      </c>
      <c r="B715" s="28" t="s">
        <v>1808</v>
      </c>
    </row>
    <row r="716" spans="1:2" x14ac:dyDescent="0.3">
      <c r="A716" s="28" t="s">
        <v>1809</v>
      </c>
      <c r="B716" s="28" t="s">
        <v>482</v>
      </c>
    </row>
    <row r="717" spans="1:2" x14ac:dyDescent="0.3">
      <c r="A717" s="28" t="s">
        <v>1810</v>
      </c>
      <c r="B717" s="28" t="s">
        <v>1811</v>
      </c>
    </row>
    <row r="718" spans="1:2" x14ac:dyDescent="0.3">
      <c r="A718" s="28" t="s">
        <v>1812</v>
      </c>
      <c r="B718" s="28" t="s">
        <v>1813</v>
      </c>
    </row>
    <row r="719" spans="1:2" x14ac:dyDescent="0.3">
      <c r="A719" s="28" t="s">
        <v>1814</v>
      </c>
      <c r="B719" s="28" t="s">
        <v>1815</v>
      </c>
    </row>
    <row r="720" spans="1:2" x14ac:dyDescent="0.3">
      <c r="A720" s="28" t="s">
        <v>1816</v>
      </c>
      <c r="B720" s="28" t="s">
        <v>1817</v>
      </c>
    </row>
    <row r="721" spans="1:2" x14ac:dyDescent="0.3">
      <c r="A721" s="28" t="s">
        <v>1818</v>
      </c>
      <c r="B721" s="28" t="s">
        <v>1819</v>
      </c>
    </row>
    <row r="722" spans="1:2" x14ac:dyDescent="0.3">
      <c r="A722" s="28" t="s">
        <v>1820</v>
      </c>
      <c r="B722" s="28" t="s">
        <v>1821</v>
      </c>
    </row>
    <row r="723" spans="1:2" x14ac:dyDescent="0.3">
      <c r="A723" s="28" t="s">
        <v>1822</v>
      </c>
      <c r="B723" s="28" t="s">
        <v>1823</v>
      </c>
    </row>
    <row r="724" spans="1:2" x14ac:dyDescent="0.3">
      <c r="A724" s="28" t="s">
        <v>1824</v>
      </c>
      <c r="B724" s="28" t="s">
        <v>1825</v>
      </c>
    </row>
    <row r="725" spans="1:2" x14ac:dyDescent="0.3">
      <c r="A725" s="28" t="s">
        <v>1826</v>
      </c>
      <c r="B725" s="28" t="s">
        <v>1827</v>
      </c>
    </row>
    <row r="726" spans="1:2" x14ac:dyDescent="0.3">
      <c r="A726" s="28" t="s">
        <v>1828</v>
      </c>
      <c r="B726" s="28" t="s">
        <v>482</v>
      </c>
    </row>
    <row r="727" spans="1:2" x14ac:dyDescent="0.3">
      <c r="A727" s="28" t="s">
        <v>1829</v>
      </c>
      <c r="B727" s="28" t="s">
        <v>1830</v>
      </c>
    </row>
    <row r="728" spans="1:2" x14ac:dyDescent="0.3">
      <c r="A728" s="28" t="s">
        <v>1831</v>
      </c>
      <c r="B728" s="28" t="s">
        <v>662</v>
      </c>
    </row>
    <row r="729" spans="1:2" x14ac:dyDescent="0.3">
      <c r="A729" s="28" t="s">
        <v>1832</v>
      </c>
      <c r="B729" s="28" t="s">
        <v>1833</v>
      </c>
    </row>
    <row r="730" spans="1:2" x14ac:dyDescent="0.3">
      <c r="A730" s="28" t="s">
        <v>1834</v>
      </c>
      <c r="B730" s="28" t="s">
        <v>1835</v>
      </c>
    </row>
    <row r="731" spans="1:2" x14ac:dyDescent="0.3">
      <c r="A731" s="28" t="s">
        <v>1836</v>
      </c>
      <c r="B731" s="28" t="s">
        <v>1837</v>
      </c>
    </row>
    <row r="732" spans="1:2" x14ac:dyDescent="0.3">
      <c r="A732" s="28" t="s">
        <v>1838</v>
      </c>
      <c r="B732" s="28" t="s">
        <v>1839</v>
      </c>
    </row>
    <row r="733" spans="1:2" x14ac:dyDescent="0.3">
      <c r="A733" s="28" t="s">
        <v>1840</v>
      </c>
      <c r="B733" s="28" t="s">
        <v>1841</v>
      </c>
    </row>
    <row r="734" spans="1:2" x14ac:dyDescent="0.3">
      <c r="A734" s="28" t="s">
        <v>1842</v>
      </c>
      <c r="B734" s="28" t="s">
        <v>1843</v>
      </c>
    </row>
    <row r="735" spans="1:2" x14ac:dyDescent="0.3">
      <c r="A735" s="28" t="s">
        <v>1844</v>
      </c>
      <c r="B735" s="28" t="s">
        <v>1845</v>
      </c>
    </row>
    <row r="736" spans="1:2" x14ac:dyDescent="0.3">
      <c r="A736" s="28" t="s">
        <v>1846</v>
      </c>
      <c r="B736" s="28" t="s">
        <v>1847</v>
      </c>
    </row>
    <row r="737" spans="1:2" x14ac:dyDescent="0.3">
      <c r="A737" s="28" t="s">
        <v>1848</v>
      </c>
      <c r="B737" s="28" t="s">
        <v>1849</v>
      </c>
    </row>
    <row r="738" spans="1:2" x14ac:dyDescent="0.3">
      <c r="A738" s="28" t="s">
        <v>1850</v>
      </c>
      <c r="B738" s="28" t="s">
        <v>1851</v>
      </c>
    </row>
    <row r="739" spans="1:2" x14ac:dyDescent="0.3">
      <c r="A739" s="28" t="s">
        <v>1852</v>
      </c>
      <c r="B739" s="28" t="s">
        <v>1853</v>
      </c>
    </row>
    <row r="740" spans="1:2" x14ac:dyDescent="0.3">
      <c r="A740" s="28" t="s">
        <v>1854</v>
      </c>
      <c r="B740" s="28" t="s">
        <v>886</v>
      </c>
    </row>
    <row r="741" spans="1:2" x14ac:dyDescent="0.3">
      <c r="A741" s="28" t="s">
        <v>1855</v>
      </c>
      <c r="B741" s="28" t="s">
        <v>1856</v>
      </c>
    </row>
    <row r="742" spans="1:2" x14ac:dyDescent="0.3">
      <c r="A742" s="28" t="s">
        <v>1857</v>
      </c>
      <c r="B742" s="28" t="s">
        <v>1858</v>
      </c>
    </row>
    <row r="743" spans="1:2" x14ac:dyDescent="0.3">
      <c r="A743" s="28" t="s">
        <v>409</v>
      </c>
      <c r="B743" s="28" t="s">
        <v>410</v>
      </c>
    </row>
    <row r="744" spans="1:2" x14ac:dyDescent="0.3">
      <c r="A744" s="28" t="s">
        <v>411</v>
      </c>
      <c r="B744" s="28" t="s">
        <v>412</v>
      </c>
    </row>
    <row r="745" spans="1:2" x14ac:dyDescent="0.3">
      <c r="A745" s="28" t="s">
        <v>413</v>
      </c>
      <c r="B745" s="28" t="s">
        <v>414</v>
      </c>
    </row>
    <row r="746" spans="1:2" x14ac:dyDescent="0.3">
      <c r="A746" s="28" t="s">
        <v>415</v>
      </c>
      <c r="B746" s="28" t="s">
        <v>416</v>
      </c>
    </row>
    <row r="747" spans="1:2" x14ac:dyDescent="0.3">
      <c r="A747" s="28" t="s">
        <v>1859</v>
      </c>
      <c r="B747" s="28" t="s">
        <v>1860</v>
      </c>
    </row>
    <row r="748" spans="1:2" x14ac:dyDescent="0.3">
      <c r="A748" s="28" t="s">
        <v>1861</v>
      </c>
      <c r="B748" s="28" t="s">
        <v>1862</v>
      </c>
    </row>
    <row r="749" spans="1:2" x14ac:dyDescent="0.3">
      <c r="A749" s="28" t="s">
        <v>1863</v>
      </c>
      <c r="B749" s="28" t="s">
        <v>1864</v>
      </c>
    </row>
    <row r="750" spans="1:2" x14ac:dyDescent="0.3">
      <c r="A750" s="28" t="s">
        <v>1865</v>
      </c>
      <c r="B750" s="28" t="s">
        <v>1866</v>
      </c>
    </row>
    <row r="751" spans="1:2" x14ac:dyDescent="0.3">
      <c r="A751" s="28" t="s">
        <v>1867</v>
      </c>
      <c r="B751" s="28" t="s">
        <v>1868</v>
      </c>
    </row>
    <row r="752" spans="1:2" x14ac:dyDescent="0.3">
      <c r="A752" s="28" t="s">
        <v>1869</v>
      </c>
      <c r="B752" s="28" t="s">
        <v>1870</v>
      </c>
    </row>
    <row r="753" spans="1:2" x14ac:dyDescent="0.3">
      <c r="A753" s="28" t="s">
        <v>1871</v>
      </c>
      <c r="B753" s="28" t="s">
        <v>1872</v>
      </c>
    </row>
    <row r="754" spans="1:2" x14ac:dyDescent="0.3">
      <c r="A754" s="28" t="s">
        <v>1873</v>
      </c>
      <c r="B754" s="28" t="s">
        <v>1874</v>
      </c>
    </row>
    <row r="755" spans="1:2" x14ac:dyDescent="0.3">
      <c r="A755" s="28" t="s">
        <v>1875</v>
      </c>
      <c r="B755" s="28" t="s">
        <v>1876</v>
      </c>
    </row>
    <row r="756" spans="1:2" x14ac:dyDescent="0.3">
      <c r="A756" s="28" t="s">
        <v>1877</v>
      </c>
      <c r="B756" s="28" t="s">
        <v>1878</v>
      </c>
    </row>
    <row r="757" spans="1:2" x14ac:dyDescent="0.3">
      <c r="A757" s="28" t="s">
        <v>1879</v>
      </c>
      <c r="B757" s="28" t="s">
        <v>482</v>
      </c>
    </row>
    <row r="758" spans="1:2" x14ac:dyDescent="0.3">
      <c r="A758" s="28" t="s">
        <v>1880</v>
      </c>
      <c r="B758" s="28" t="s">
        <v>1881</v>
      </c>
    </row>
    <row r="759" spans="1:2" x14ac:dyDescent="0.3">
      <c r="A759" s="28" t="s">
        <v>1882</v>
      </c>
      <c r="B759" s="28" t="s">
        <v>1883</v>
      </c>
    </row>
    <row r="760" spans="1:2" x14ac:dyDescent="0.3">
      <c r="A760" s="28" t="s">
        <v>1884</v>
      </c>
      <c r="B760" s="28" t="s">
        <v>1885</v>
      </c>
    </row>
    <row r="761" spans="1:2" x14ac:dyDescent="0.3">
      <c r="A761" s="28" t="s">
        <v>1886</v>
      </c>
      <c r="B761" s="28" t="s">
        <v>1887</v>
      </c>
    </row>
    <row r="762" spans="1:2" x14ac:dyDescent="0.3">
      <c r="A762" s="28" t="s">
        <v>1888</v>
      </c>
      <c r="B762" s="28" t="s">
        <v>1889</v>
      </c>
    </row>
    <row r="763" spans="1:2" x14ac:dyDescent="0.3">
      <c r="A763" s="28" t="s">
        <v>1890</v>
      </c>
      <c r="B763" s="28" t="s">
        <v>1641</v>
      </c>
    </row>
    <row r="764" spans="1:2" x14ac:dyDescent="0.3">
      <c r="A764" s="28" t="s">
        <v>1891</v>
      </c>
      <c r="B764" s="28" t="s">
        <v>912</v>
      </c>
    </row>
    <row r="765" spans="1:2" x14ac:dyDescent="0.3">
      <c r="A765" s="28" t="s">
        <v>1892</v>
      </c>
      <c r="B765" s="28" t="s">
        <v>1723</v>
      </c>
    </row>
    <row r="766" spans="1:2" x14ac:dyDescent="0.3">
      <c r="A766" s="28" t="s">
        <v>1893</v>
      </c>
      <c r="B766" s="28" t="s">
        <v>1894</v>
      </c>
    </row>
    <row r="767" spans="1:2" x14ac:dyDescent="0.3">
      <c r="A767" s="28" t="s">
        <v>1895</v>
      </c>
      <c r="B767" s="28" t="s">
        <v>1896</v>
      </c>
    </row>
    <row r="768" spans="1:2" x14ac:dyDescent="0.3">
      <c r="A768" s="28" t="s">
        <v>1897</v>
      </c>
      <c r="B768" s="28" t="s">
        <v>1898</v>
      </c>
    </row>
    <row r="769" spans="1:2" x14ac:dyDescent="0.3">
      <c r="A769" s="28" t="s">
        <v>1899</v>
      </c>
      <c r="B769" s="28" t="s">
        <v>1900</v>
      </c>
    </row>
    <row r="770" spans="1:2" x14ac:dyDescent="0.3">
      <c r="A770" s="28" t="s">
        <v>1901</v>
      </c>
      <c r="B770" s="28" t="s">
        <v>1902</v>
      </c>
    </row>
    <row r="771" spans="1:2" x14ac:dyDescent="0.3">
      <c r="A771" s="28" t="s">
        <v>1903</v>
      </c>
      <c r="B771" s="28" t="s">
        <v>1904</v>
      </c>
    </row>
    <row r="772" spans="1:2" x14ac:dyDescent="0.3">
      <c r="A772" s="28" t="s">
        <v>1905</v>
      </c>
      <c r="B772" s="28" t="s">
        <v>1906</v>
      </c>
    </row>
    <row r="773" spans="1:2" x14ac:dyDescent="0.3">
      <c r="A773" s="28" t="s">
        <v>1907</v>
      </c>
      <c r="B773" s="28" t="s">
        <v>590</v>
      </c>
    </row>
    <row r="774" spans="1:2" x14ac:dyDescent="0.3">
      <c r="A774" s="28" t="s">
        <v>1908</v>
      </c>
      <c r="B774" s="28" t="s">
        <v>1909</v>
      </c>
    </row>
    <row r="775" spans="1:2" x14ac:dyDescent="0.3">
      <c r="A775" s="28" t="s">
        <v>1910</v>
      </c>
      <c r="B775" s="28" t="s">
        <v>1911</v>
      </c>
    </row>
    <row r="776" spans="1:2" x14ac:dyDescent="0.3">
      <c r="A776" s="28" t="s">
        <v>1912</v>
      </c>
      <c r="B776" s="28" t="s">
        <v>1913</v>
      </c>
    </row>
    <row r="777" spans="1:2" x14ac:dyDescent="0.3">
      <c r="A777" s="28" t="s">
        <v>1914</v>
      </c>
      <c r="B777" s="28" t="s">
        <v>1915</v>
      </c>
    </row>
    <row r="778" spans="1:2" x14ac:dyDescent="0.3">
      <c r="A778" s="28" t="s">
        <v>1916</v>
      </c>
      <c r="B778" s="28" t="s">
        <v>1917</v>
      </c>
    </row>
    <row r="779" spans="1:2" x14ac:dyDescent="0.3">
      <c r="A779" s="28" t="s">
        <v>1918</v>
      </c>
      <c r="B779" s="28" t="s">
        <v>1919</v>
      </c>
    </row>
    <row r="780" spans="1:2" x14ac:dyDescent="0.3">
      <c r="A780" s="28" t="s">
        <v>1920</v>
      </c>
      <c r="B780" s="28" t="s">
        <v>1921</v>
      </c>
    </row>
    <row r="781" spans="1:2" x14ac:dyDescent="0.3">
      <c r="A781" s="28" t="s">
        <v>1922</v>
      </c>
      <c r="B781" s="28" t="s">
        <v>1923</v>
      </c>
    </row>
    <row r="782" spans="1:2" x14ac:dyDescent="0.3">
      <c r="A782" s="28" t="s">
        <v>1924</v>
      </c>
      <c r="B782" s="28" t="s">
        <v>1925</v>
      </c>
    </row>
    <row r="783" spans="1:2" x14ac:dyDescent="0.3">
      <c r="A783" s="28" t="s">
        <v>1926</v>
      </c>
      <c r="B783" s="28" t="s">
        <v>1927</v>
      </c>
    </row>
    <row r="784" spans="1:2" x14ac:dyDescent="0.3">
      <c r="A784" s="28" t="s">
        <v>1928</v>
      </c>
      <c r="B784" s="28" t="s">
        <v>1929</v>
      </c>
    </row>
    <row r="785" spans="1:2" x14ac:dyDescent="0.3">
      <c r="A785" s="28" t="s">
        <v>1930</v>
      </c>
      <c r="B785" s="28" t="s">
        <v>1931</v>
      </c>
    </row>
    <row r="786" spans="1:2" x14ac:dyDescent="0.3">
      <c r="A786" s="28" t="s">
        <v>1932</v>
      </c>
      <c r="B786" s="28" t="s">
        <v>1933</v>
      </c>
    </row>
    <row r="787" spans="1:2" x14ac:dyDescent="0.3">
      <c r="A787" s="28" t="s">
        <v>1934</v>
      </c>
      <c r="B787" s="28" t="s">
        <v>1935</v>
      </c>
    </row>
    <row r="788" spans="1:2" x14ac:dyDescent="0.3">
      <c r="A788" s="28" t="s">
        <v>1936</v>
      </c>
      <c r="B788" s="28" t="s">
        <v>1937</v>
      </c>
    </row>
    <row r="789" spans="1:2" x14ac:dyDescent="0.3">
      <c r="A789" s="28" t="s">
        <v>1938</v>
      </c>
      <c r="B789" s="28" t="s">
        <v>1939</v>
      </c>
    </row>
    <row r="790" spans="1:2" x14ac:dyDescent="0.3">
      <c r="A790" s="28" t="s">
        <v>1940</v>
      </c>
      <c r="B790" s="28" t="s">
        <v>1941</v>
      </c>
    </row>
    <row r="791" spans="1:2" x14ac:dyDescent="0.3">
      <c r="A791" s="28" t="s">
        <v>1942</v>
      </c>
      <c r="B791" s="28" t="s">
        <v>1943</v>
      </c>
    </row>
    <row r="792" spans="1:2" x14ac:dyDescent="0.3">
      <c r="A792" s="28" t="s">
        <v>1944</v>
      </c>
      <c r="B792" s="28" t="s">
        <v>1945</v>
      </c>
    </row>
    <row r="793" spans="1:2" x14ac:dyDescent="0.3">
      <c r="A793" s="28" t="s">
        <v>1946</v>
      </c>
      <c r="B793" s="28" t="s">
        <v>1947</v>
      </c>
    </row>
    <row r="794" spans="1:2" x14ac:dyDescent="0.3">
      <c r="A794" s="28" t="s">
        <v>1948</v>
      </c>
      <c r="B794" s="28" t="s">
        <v>1949</v>
      </c>
    </row>
    <row r="795" spans="1:2" x14ac:dyDescent="0.3">
      <c r="A795" s="28" t="s">
        <v>1950</v>
      </c>
      <c r="B795" s="28" t="s">
        <v>1951</v>
      </c>
    </row>
    <row r="796" spans="1:2" x14ac:dyDescent="0.3">
      <c r="A796" s="28" t="s">
        <v>1952</v>
      </c>
      <c r="B796" s="28" t="s">
        <v>1953</v>
      </c>
    </row>
    <row r="797" spans="1:2" x14ac:dyDescent="0.3">
      <c r="A797" s="28" t="s">
        <v>1954</v>
      </c>
      <c r="B797" s="28" t="s">
        <v>1955</v>
      </c>
    </row>
    <row r="798" spans="1:2" x14ac:dyDescent="0.3">
      <c r="A798" s="28" t="s">
        <v>1956</v>
      </c>
      <c r="B798" s="28" t="s">
        <v>1957</v>
      </c>
    </row>
    <row r="799" spans="1:2" x14ac:dyDescent="0.3">
      <c r="A799" s="28" t="s">
        <v>1958</v>
      </c>
      <c r="B799" s="28" t="s">
        <v>1959</v>
      </c>
    </row>
    <row r="800" spans="1:2" x14ac:dyDescent="0.3">
      <c r="A800" s="28" t="s">
        <v>1960</v>
      </c>
      <c r="B800" s="28" t="s">
        <v>1961</v>
      </c>
    </row>
    <row r="801" spans="1:2" x14ac:dyDescent="0.3">
      <c r="A801" s="28" t="s">
        <v>1962</v>
      </c>
      <c r="B801" s="28" t="s">
        <v>1963</v>
      </c>
    </row>
    <row r="802" spans="1:2" x14ac:dyDescent="0.3">
      <c r="A802" s="28" t="s">
        <v>1964</v>
      </c>
      <c r="B802" s="28" t="s">
        <v>1965</v>
      </c>
    </row>
    <row r="803" spans="1:2" x14ac:dyDescent="0.3">
      <c r="A803" s="28" t="s">
        <v>1966</v>
      </c>
      <c r="B803" s="28" t="s">
        <v>1967</v>
      </c>
    </row>
  </sheetData>
  <sheetProtection algorithmName="SHA-512" hashValue="ApkSynQnrOAXxpLvzDvSeZagLE+17akPK4WFoB6xDz55YNHjPMfcut1IoAF9GBwZP5QDL21L+YTSBh3+G8kKkw==" saltValue="UbpWeO/gbe9O226xv1PRq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72E84-521E-416A-8AA0-90937DBA95C1}">
  <sheetPr codeName="Sheet4">
    <tabColor rgb="FF92D050"/>
  </sheetPr>
  <dimension ref="A1:H41"/>
  <sheetViews>
    <sheetView showGridLines="0" zoomScaleNormal="100" workbookViewId="0">
      <selection activeCell="A13" sqref="A13:P26"/>
    </sheetView>
  </sheetViews>
  <sheetFormatPr defaultColWidth="8.88671875" defaultRowHeight="14.4" x14ac:dyDescent="0.3"/>
  <cols>
    <col min="1" max="1" width="55.6640625" style="14" customWidth="1"/>
    <col min="2" max="2" width="12.5546875" style="53" bestFit="1" customWidth="1"/>
    <col min="3" max="3" width="32.33203125" style="14" customWidth="1"/>
    <col min="4" max="4" width="15.33203125" style="53" customWidth="1"/>
    <col min="5" max="5" width="20.44140625" style="14" bestFit="1" customWidth="1"/>
    <col min="6" max="7" width="3.33203125" style="14" customWidth="1"/>
    <col min="8" max="8" width="46.5546875" style="14" customWidth="1"/>
    <col min="9" max="16384" width="8.88671875" style="14"/>
  </cols>
  <sheetData>
    <row r="1" spans="1:8" ht="43.2" customHeight="1" x14ac:dyDescent="0.3">
      <c r="A1" s="537" t="s">
        <v>1982</v>
      </c>
      <c r="B1" s="538"/>
      <c r="C1" s="538"/>
      <c r="D1" s="538"/>
      <c r="E1" s="538"/>
      <c r="F1" s="538"/>
      <c r="G1" s="538"/>
      <c r="H1" s="538"/>
    </row>
    <row r="2" spans="1:8" ht="14.4" customHeight="1" x14ac:dyDescent="0.3">
      <c r="A2" s="539" t="s">
        <v>138</v>
      </c>
      <c r="B2" s="540"/>
      <c r="C2" s="540"/>
      <c r="D2" s="540"/>
      <c r="E2" s="540"/>
      <c r="F2" s="540"/>
      <c r="G2" s="540"/>
      <c r="H2" s="540"/>
    </row>
    <row r="3" spans="1:8" x14ac:dyDescent="0.3">
      <c r="A3" s="539"/>
      <c r="B3" s="540"/>
      <c r="C3" s="540"/>
      <c r="D3" s="540"/>
      <c r="E3" s="540"/>
      <c r="F3" s="540"/>
      <c r="G3" s="540"/>
      <c r="H3" s="540"/>
    </row>
    <row r="4" spans="1:8" x14ac:dyDescent="0.3">
      <c r="A4" s="539"/>
      <c r="B4" s="540"/>
      <c r="C4" s="540"/>
      <c r="D4" s="540"/>
      <c r="E4" s="540"/>
      <c r="F4" s="540"/>
      <c r="G4" s="540"/>
      <c r="H4" s="540"/>
    </row>
    <row r="5" spans="1:8" x14ac:dyDescent="0.3">
      <c r="A5" s="539"/>
      <c r="B5" s="540"/>
      <c r="C5" s="540"/>
      <c r="D5" s="540"/>
      <c r="E5" s="540"/>
      <c r="F5" s="540"/>
      <c r="G5" s="540"/>
      <c r="H5" s="540"/>
    </row>
    <row r="6" spans="1:8" x14ac:dyDescent="0.3">
      <c r="A6" s="523" t="s">
        <v>139</v>
      </c>
      <c r="B6" s="524"/>
      <c r="C6" s="524"/>
      <c r="D6" s="524"/>
      <c r="E6" s="524"/>
      <c r="F6" s="524"/>
      <c r="G6" s="524"/>
      <c r="H6" s="525"/>
    </row>
    <row r="7" spans="1:8" x14ac:dyDescent="0.3">
      <c r="A7" s="526"/>
      <c r="B7" s="527"/>
      <c r="C7" s="527"/>
      <c r="D7" s="527"/>
      <c r="E7" s="527"/>
      <c r="F7" s="527"/>
      <c r="G7" s="527"/>
      <c r="H7" s="528"/>
    </row>
    <row r="8" spans="1:8" x14ac:dyDescent="0.3">
      <c r="A8" s="529"/>
      <c r="B8" s="506"/>
      <c r="C8" s="506"/>
      <c r="D8" s="506"/>
      <c r="E8" s="506"/>
      <c r="F8" s="506"/>
      <c r="G8" s="506"/>
      <c r="H8" s="530"/>
    </row>
    <row r="9" spans="1:8" x14ac:dyDescent="0.3">
      <c r="A9" s="529"/>
      <c r="B9" s="506"/>
      <c r="C9" s="506"/>
      <c r="D9" s="506"/>
      <c r="E9" s="506"/>
      <c r="F9" s="506"/>
      <c r="G9" s="506"/>
      <c r="H9" s="530"/>
    </row>
    <row r="10" spans="1:8" x14ac:dyDescent="0.3">
      <c r="A10" s="529"/>
      <c r="B10" s="506"/>
      <c r="C10" s="506"/>
      <c r="D10" s="506"/>
      <c r="E10" s="506"/>
      <c r="F10" s="506"/>
      <c r="G10" s="506"/>
      <c r="H10" s="530"/>
    </row>
    <row r="11" spans="1:8" x14ac:dyDescent="0.3">
      <c r="A11" s="529"/>
      <c r="B11" s="506"/>
      <c r="C11" s="506"/>
      <c r="D11" s="506"/>
      <c r="E11" s="506"/>
      <c r="F11" s="506"/>
      <c r="G11" s="506"/>
      <c r="H11" s="530"/>
    </row>
    <row r="12" spans="1:8" x14ac:dyDescent="0.3">
      <c r="A12" s="529"/>
      <c r="B12" s="506"/>
      <c r="C12" s="506"/>
      <c r="D12" s="506"/>
      <c r="E12" s="506"/>
      <c r="F12" s="506"/>
      <c r="G12" s="506"/>
      <c r="H12" s="530"/>
    </row>
    <row r="13" spans="1:8" x14ac:dyDescent="0.3">
      <c r="A13" s="529"/>
      <c r="B13" s="506"/>
      <c r="C13" s="506"/>
      <c r="D13" s="506"/>
      <c r="E13" s="506"/>
      <c r="F13" s="506"/>
      <c r="G13" s="506"/>
      <c r="H13" s="530"/>
    </row>
    <row r="14" spans="1:8" x14ac:dyDescent="0.3">
      <c r="A14" s="531"/>
      <c r="B14" s="532"/>
      <c r="C14" s="532"/>
      <c r="D14" s="532"/>
      <c r="E14" s="532"/>
      <c r="F14" s="532"/>
      <c r="G14" s="532"/>
      <c r="H14" s="533"/>
    </row>
    <row r="15" spans="1:8" x14ac:dyDescent="0.3">
      <c r="A15" s="523" t="s">
        <v>140</v>
      </c>
      <c r="B15" s="524"/>
      <c r="C15" s="524"/>
      <c r="D15" s="524"/>
      <c r="E15" s="524"/>
      <c r="F15" s="524"/>
      <c r="G15" s="524"/>
      <c r="H15" s="525"/>
    </row>
    <row r="16" spans="1:8" x14ac:dyDescent="0.3">
      <c r="A16" s="526"/>
      <c r="B16" s="527"/>
      <c r="C16" s="527"/>
      <c r="D16" s="527"/>
      <c r="E16" s="527"/>
      <c r="F16" s="527"/>
      <c r="G16" s="527"/>
      <c r="H16" s="528"/>
    </row>
    <row r="17" spans="1:8" x14ac:dyDescent="0.3">
      <c r="A17" s="529"/>
      <c r="B17" s="506"/>
      <c r="C17" s="506"/>
      <c r="D17" s="506"/>
      <c r="E17" s="506"/>
      <c r="F17" s="506"/>
      <c r="G17" s="506"/>
      <c r="H17" s="530"/>
    </row>
    <row r="18" spans="1:8" x14ac:dyDescent="0.3">
      <c r="A18" s="529"/>
      <c r="B18" s="506"/>
      <c r="C18" s="506"/>
      <c r="D18" s="506"/>
      <c r="E18" s="506"/>
      <c r="F18" s="506"/>
      <c r="G18" s="506"/>
      <c r="H18" s="530"/>
    </row>
    <row r="19" spans="1:8" x14ac:dyDescent="0.3">
      <c r="A19" s="529"/>
      <c r="B19" s="506"/>
      <c r="C19" s="506"/>
      <c r="D19" s="506"/>
      <c r="E19" s="506"/>
      <c r="F19" s="506"/>
      <c r="G19" s="506"/>
      <c r="H19" s="530"/>
    </row>
    <row r="20" spans="1:8" x14ac:dyDescent="0.3">
      <c r="A20" s="529"/>
      <c r="B20" s="506"/>
      <c r="C20" s="506"/>
      <c r="D20" s="506"/>
      <c r="E20" s="506"/>
      <c r="F20" s="506"/>
      <c r="G20" s="506"/>
      <c r="H20" s="530"/>
    </row>
    <row r="21" spans="1:8" x14ac:dyDescent="0.3">
      <c r="A21" s="529"/>
      <c r="B21" s="506"/>
      <c r="C21" s="506"/>
      <c r="D21" s="506"/>
      <c r="E21" s="506"/>
      <c r="F21" s="506"/>
      <c r="G21" s="506"/>
      <c r="H21" s="530"/>
    </row>
    <row r="22" spans="1:8" x14ac:dyDescent="0.3">
      <c r="A22" s="529"/>
      <c r="B22" s="506"/>
      <c r="C22" s="506"/>
      <c r="D22" s="506"/>
      <c r="E22" s="506"/>
      <c r="F22" s="506"/>
      <c r="G22" s="506"/>
      <c r="H22" s="530"/>
    </row>
    <row r="23" spans="1:8" x14ac:dyDescent="0.3">
      <c r="A23" s="531"/>
      <c r="B23" s="532"/>
      <c r="C23" s="532"/>
      <c r="D23" s="532"/>
      <c r="E23" s="532"/>
      <c r="F23" s="532"/>
      <c r="G23" s="532"/>
      <c r="H23" s="533"/>
    </row>
    <row r="24" spans="1:8" x14ac:dyDescent="0.3">
      <c r="A24" s="523" t="s">
        <v>141</v>
      </c>
      <c r="B24" s="524"/>
      <c r="C24" s="524"/>
      <c r="D24" s="524"/>
      <c r="E24" s="524"/>
      <c r="F24" s="524"/>
      <c r="G24" s="524"/>
      <c r="H24" s="525"/>
    </row>
    <row r="25" spans="1:8" x14ac:dyDescent="0.3">
      <c r="A25" s="526"/>
      <c r="B25" s="527"/>
      <c r="C25" s="527"/>
      <c r="D25" s="527"/>
      <c r="E25" s="527"/>
      <c r="F25" s="527"/>
      <c r="G25" s="527"/>
      <c r="H25" s="528"/>
    </row>
    <row r="26" spans="1:8" x14ac:dyDescent="0.3">
      <c r="A26" s="529"/>
      <c r="B26" s="506"/>
      <c r="C26" s="506"/>
      <c r="D26" s="506"/>
      <c r="E26" s="506"/>
      <c r="F26" s="506"/>
      <c r="G26" s="506"/>
      <c r="H26" s="530"/>
    </row>
    <row r="27" spans="1:8" x14ac:dyDescent="0.3">
      <c r="A27" s="529"/>
      <c r="B27" s="506"/>
      <c r="C27" s="506"/>
      <c r="D27" s="506"/>
      <c r="E27" s="506"/>
      <c r="F27" s="506"/>
      <c r="G27" s="506"/>
      <c r="H27" s="530"/>
    </row>
    <row r="28" spans="1:8" x14ac:dyDescent="0.3">
      <c r="A28" s="529"/>
      <c r="B28" s="506"/>
      <c r="C28" s="506"/>
      <c r="D28" s="506"/>
      <c r="E28" s="506"/>
      <c r="F28" s="506"/>
      <c r="G28" s="506"/>
      <c r="H28" s="530"/>
    </row>
    <row r="29" spans="1:8" x14ac:dyDescent="0.3">
      <c r="A29" s="529"/>
      <c r="B29" s="506"/>
      <c r="C29" s="506"/>
      <c r="D29" s="506"/>
      <c r="E29" s="506"/>
      <c r="F29" s="506"/>
      <c r="G29" s="506"/>
      <c r="H29" s="530"/>
    </row>
    <row r="30" spans="1:8" x14ac:dyDescent="0.3">
      <c r="A30" s="529"/>
      <c r="B30" s="506"/>
      <c r="C30" s="506"/>
      <c r="D30" s="506"/>
      <c r="E30" s="506"/>
      <c r="F30" s="506"/>
      <c r="G30" s="506"/>
      <c r="H30" s="530"/>
    </row>
    <row r="31" spans="1:8" x14ac:dyDescent="0.3">
      <c r="A31" s="529"/>
      <c r="B31" s="506"/>
      <c r="C31" s="506"/>
      <c r="D31" s="506"/>
      <c r="E31" s="506"/>
      <c r="F31" s="506"/>
      <c r="G31" s="506"/>
      <c r="H31" s="530"/>
    </row>
    <row r="32" spans="1:8" x14ac:dyDescent="0.3">
      <c r="A32" s="531"/>
      <c r="B32" s="532"/>
      <c r="C32" s="532"/>
      <c r="D32" s="532"/>
      <c r="E32" s="532"/>
      <c r="F32" s="532"/>
      <c r="G32" s="532"/>
      <c r="H32" s="533"/>
    </row>
    <row r="33" spans="1:8" x14ac:dyDescent="0.3">
      <c r="A33" s="534" t="s">
        <v>1980</v>
      </c>
      <c r="B33" s="535"/>
      <c r="C33" s="535"/>
      <c r="D33" s="535"/>
      <c r="E33" s="535"/>
      <c r="F33" s="535"/>
      <c r="G33" s="535"/>
      <c r="H33" s="536"/>
    </row>
    <row r="34" spans="1:8" ht="14.4" customHeight="1" x14ac:dyDescent="0.3">
      <c r="A34" s="526"/>
      <c r="B34" s="527"/>
      <c r="C34" s="527"/>
      <c r="D34" s="527"/>
      <c r="E34" s="527"/>
      <c r="F34" s="527"/>
      <c r="G34" s="527"/>
      <c r="H34" s="528"/>
    </row>
    <row r="35" spans="1:8" x14ac:dyDescent="0.3">
      <c r="A35" s="529"/>
      <c r="B35" s="506"/>
      <c r="C35" s="506"/>
      <c r="D35" s="506"/>
      <c r="E35" s="506"/>
      <c r="F35" s="506"/>
      <c r="G35" s="506"/>
      <c r="H35" s="530"/>
    </row>
    <row r="36" spans="1:8" x14ac:dyDescent="0.3">
      <c r="A36" s="529"/>
      <c r="B36" s="506"/>
      <c r="C36" s="506"/>
      <c r="D36" s="506"/>
      <c r="E36" s="506"/>
      <c r="F36" s="506"/>
      <c r="G36" s="506"/>
      <c r="H36" s="530"/>
    </row>
    <row r="37" spans="1:8" x14ac:dyDescent="0.3">
      <c r="A37" s="529"/>
      <c r="B37" s="506"/>
      <c r="C37" s="506"/>
      <c r="D37" s="506"/>
      <c r="E37" s="506"/>
      <c r="F37" s="506"/>
      <c r="G37" s="506"/>
      <c r="H37" s="530"/>
    </row>
    <row r="38" spans="1:8" x14ac:dyDescent="0.3">
      <c r="A38" s="529"/>
      <c r="B38" s="506"/>
      <c r="C38" s="506"/>
      <c r="D38" s="506"/>
      <c r="E38" s="506"/>
      <c r="F38" s="506"/>
      <c r="G38" s="506"/>
      <c r="H38" s="530"/>
    </row>
    <row r="39" spans="1:8" x14ac:dyDescent="0.3">
      <c r="A39" s="529"/>
      <c r="B39" s="506"/>
      <c r="C39" s="506"/>
      <c r="D39" s="506"/>
      <c r="E39" s="506"/>
      <c r="F39" s="506"/>
      <c r="G39" s="506"/>
      <c r="H39" s="530"/>
    </row>
    <row r="40" spans="1:8" x14ac:dyDescent="0.3">
      <c r="A40" s="529"/>
      <c r="B40" s="506"/>
      <c r="C40" s="506"/>
      <c r="D40" s="506"/>
      <c r="E40" s="506"/>
      <c r="F40" s="506"/>
      <c r="G40" s="506"/>
      <c r="H40" s="530"/>
    </row>
    <row r="41" spans="1:8" x14ac:dyDescent="0.3">
      <c r="A41" s="531"/>
      <c r="B41" s="532"/>
      <c r="C41" s="532"/>
      <c r="D41" s="532"/>
      <c r="E41" s="532"/>
      <c r="F41" s="532"/>
      <c r="G41" s="532"/>
      <c r="H41" s="533"/>
    </row>
  </sheetData>
  <sheetProtection algorithmName="SHA-512" hashValue="K2lWiapPQKbBlugaj7rve8Um1XojLR6r60cul175CZ1hFLTpgRGeJZ4lOf9vEM5bci5CPiWRLCtD8l3slXWavQ==" saltValue="ZPEGeXaYmfYrMhwrklN9hw==" spinCount="100000" sheet="1" objects="1" scenarios="1" selectLockedCells="1"/>
  <mergeCells count="10">
    <mergeCell ref="A24:H24"/>
    <mergeCell ref="A25:H32"/>
    <mergeCell ref="A33:H33"/>
    <mergeCell ref="A34:H41"/>
    <mergeCell ref="A1:H1"/>
    <mergeCell ref="A2:H5"/>
    <mergeCell ref="A6:H6"/>
    <mergeCell ref="A7:H14"/>
    <mergeCell ref="A15:H15"/>
    <mergeCell ref="A16:H2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E4283-5D58-4DDD-81E9-FBA4909EE16B}">
  <sheetPr codeName="Sheet5">
    <tabColor rgb="FF92D050"/>
  </sheetPr>
  <dimension ref="A1"/>
  <sheetViews>
    <sheetView workbookViewId="0">
      <selection activeCell="A13" sqref="A13:P26"/>
    </sheetView>
  </sheetViews>
  <sheetFormatPr defaultRowHeight="14.4" x14ac:dyDescent="0.3"/>
  <sheetData/>
  <sheetProtection algorithmName="SHA-512" hashValue="S/JUVXq9NSSokf3eC++BcddZwqV237rqelrCvyrrcTWiZqL2Ru4vh/HVfF87z9A8pFM4f/72LPQpdJViCjsbMw==" saltValue="yivY1xPZBVc+ihlKrqRSbQ==" spinCount="100000" sheet="1" objects="1" scenarios="1"/>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A3F87-0F41-46AE-AE90-835FA1079DB8}">
  <sheetPr codeName="Sheet7"/>
  <dimension ref="A1:E32"/>
  <sheetViews>
    <sheetView workbookViewId="0"/>
  </sheetViews>
  <sheetFormatPr defaultRowHeight="14.4" x14ac:dyDescent="0.3"/>
  <cols>
    <col min="1" max="1" width="32.33203125" bestFit="1" customWidth="1"/>
    <col min="2" max="2" width="4.33203125" bestFit="1" customWidth="1"/>
    <col min="3" max="3" width="33.6640625" bestFit="1" customWidth="1"/>
    <col min="4" max="4" width="16.6640625" bestFit="1" customWidth="1"/>
    <col min="5" max="5" width="12.33203125" bestFit="1" customWidth="1"/>
  </cols>
  <sheetData>
    <row r="1" spans="1:5" x14ac:dyDescent="0.3">
      <c r="A1" t="s">
        <v>136</v>
      </c>
      <c r="B1" t="s">
        <v>137</v>
      </c>
      <c r="C1" t="s">
        <v>81</v>
      </c>
      <c r="D1" t="s">
        <v>75</v>
      </c>
      <c r="E1" t="s">
        <v>76</v>
      </c>
    </row>
    <row r="2" spans="1:5" x14ac:dyDescent="0.3">
      <c r="A2" s="23" t="s">
        <v>95</v>
      </c>
      <c r="B2" s="23" t="s">
        <v>94</v>
      </c>
      <c r="C2" s="23" t="s">
        <v>65</v>
      </c>
      <c r="D2" s="23" t="s">
        <v>94</v>
      </c>
    </row>
    <row r="3" spans="1:5" x14ac:dyDescent="0.3">
      <c r="A3" s="23" t="s">
        <v>142</v>
      </c>
      <c r="B3" s="23"/>
      <c r="C3" s="23"/>
      <c r="D3" s="23"/>
    </row>
    <row r="4" spans="1:5" x14ac:dyDescent="0.3">
      <c r="A4" s="23"/>
      <c r="B4" s="23"/>
      <c r="C4" s="23"/>
      <c r="D4" s="23"/>
    </row>
    <row r="5" spans="1:5" x14ac:dyDescent="0.3">
      <c r="A5" s="23"/>
      <c r="B5" s="23"/>
      <c r="C5" s="23"/>
      <c r="D5" s="23"/>
    </row>
    <row r="6" spans="1:5" x14ac:dyDescent="0.3">
      <c r="A6" s="23"/>
      <c r="B6" s="23"/>
      <c r="C6" s="23"/>
      <c r="D6" s="23"/>
    </row>
    <row r="7" spans="1:5" x14ac:dyDescent="0.3">
      <c r="A7" s="23"/>
      <c r="B7" s="23"/>
      <c r="C7" s="23"/>
      <c r="D7" s="23"/>
    </row>
    <row r="8" spans="1:5" x14ac:dyDescent="0.3">
      <c r="A8" s="23"/>
      <c r="B8" s="23"/>
      <c r="C8" s="23"/>
      <c r="D8" s="23"/>
    </row>
    <row r="9" spans="1:5" x14ac:dyDescent="0.3">
      <c r="A9" s="23"/>
      <c r="B9" s="23"/>
      <c r="C9" s="23"/>
      <c r="D9" s="23"/>
    </row>
    <row r="10" spans="1:5" x14ac:dyDescent="0.3">
      <c r="A10" s="23"/>
      <c r="B10" s="23"/>
      <c r="C10" s="23"/>
      <c r="D10" s="23"/>
    </row>
    <row r="11" spans="1:5" x14ac:dyDescent="0.3">
      <c r="A11" s="23"/>
      <c r="B11" s="23"/>
      <c r="C11" s="23"/>
      <c r="D11" s="23"/>
    </row>
    <row r="12" spans="1:5" x14ac:dyDescent="0.3">
      <c r="A12" s="23"/>
      <c r="B12" s="23"/>
      <c r="C12" s="23"/>
      <c r="D12" s="23"/>
    </row>
    <row r="13" spans="1:5" x14ac:dyDescent="0.3">
      <c r="A13" s="23"/>
      <c r="B13" s="23"/>
      <c r="C13" s="23"/>
      <c r="D13" s="23"/>
    </row>
    <row r="14" spans="1:5" x14ac:dyDescent="0.3">
      <c r="A14" s="23"/>
      <c r="B14" s="23"/>
      <c r="C14" s="23"/>
      <c r="D14" s="23"/>
    </row>
    <row r="15" spans="1:5" x14ac:dyDescent="0.3">
      <c r="A15" s="23"/>
      <c r="B15" s="23"/>
      <c r="C15" s="23"/>
      <c r="D15" s="23"/>
    </row>
    <row r="16" spans="1:5" x14ac:dyDescent="0.3">
      <c r="A16" s="23"/>
      <c r="B16" s="23"/>
      <c r="C16" s="23"/>
      <c r="D16" s="23"/>
    </row>
    <row r="17" spans="1:5" x14ac:dyDescent="0.3">
      <c r="A17" s="23"/>
      <c r="B17" s="23"/>
      <c r="C17" s="23"/>
      <c r="D17" s="23"/>
    </row>
    <row r="18" spans="1:5" x14ac:dyDescent="0.3">
      <c r="A18" s="23"/>
      <c r="B18" s="23"/>
      <c r="C18" s="23"/>
      <c r="D18" s="23"/>
    </row>
    <row r="19" spans="1:5" x14ac:dyDescent="0.3">
      <c r="A19" s="23"/>
      <c r="B19" s="23"/>
      <c r="C19" s="23"/>
      <c r="D19" s="23"/>
    </row>
    <row r="20" spans="1:5" x14ac:dyDescent="0.3">
      <c r="A20" s="23"/>
      <c r="B20" s="23"/>
      <c r="C20" s="23"/>
      <c r="D20" s="23"/>
    </row>
    <row r="21" spans="1:5" x14ac:dyDescent="0.3">
      <c r="A21" s="23"/>
      <c r="B21" s="23"/>
      <c r="C21" s="23"/>
      <c r="D21" s="23"/>
    </row>
    <row r="22" spans="1:5" x14ac:dyDescent="0.3">
      <c r="A22" s="23"/>
      <c r="B22" s="23"/>
      <c r="C22" s="23"/>
      <c r="D22" s="23"/>
    </row>
    <row r="23" spans="1:5" x14ac:dyDescent="0.3">
      <c r="A23" s="23"/>
      <c r="B23" s="23"/>
      <c r="C23" s="23"/>
      <c r="D23" s="23"/>
    </row>
    <row r="24" spans="1:5" x14ac:dyDescent="0.3">
      <c r="A24" s="23"/>
      <c r="B24" s="23"/>
      <c r="C24" s="23"/>
      <c r="D24" s="23"/>
    </row>
    <row r="25" spans="1:5" x14ac:dyDescent="0.3">
      <c r="A25" s="23"/>
      <c r="B25" s="23"/>
      <c r="C25" s="23"/>
      <c r="D25" s="23"/>
    </row>
    <row r="26" spans="1:5" x14ac:dyDescent="0.3">
      <c r="A26" s="23"/>
      <c r="B26" s="23"/>
      <c r="C26" s="23"/>
      <c r="D26" s="23"/>
    </row>
    <row r="27" spans="1:5" x14ac:dyDescent="0.3">
      <c r="A27" s="23"/>
      <c r="B27" s="23"/>
      <c r="C27" s="23"/>
      <c r="D27" s="23"/>
    </row>
    <row r="28" spans="1:5" x14ac:dyDescent="0.3">
      <c r="A28" s="23"/>
      <c r="B28" s="23"/>
      <c r="C28" s="23"/>
      <c r="D28" s="23"/>
    </row>
    <row r="29" spans="1:5" x14ac:dyDescent="0.3">
      <c r="A29" s="23"/>
      <c r="B29" s="23"/>
      <c r="C29" s="23"/>
      <c r="D29" s="23"/>
    </row>
    <row r="30" spans="1:5" x14ac:dyDescent="0.3">
      <c r="A30" s="23"/>
      <c r="B30" s="23"/>
      <c r="C30" s="23"/>
      <c r="D30" s="23"/>
    </row>
    <row r="31" spans="1:5" x14ac:dyDescent="0.3">
      <c r="A31" s="23"/>
      <c r="B31" s="23"/>
      <c r="C31" s="23"/>
      <c r="D31" s="23"/>
    </row>
    <row r="32" spans="1:5" x14ac:dyDescent="0.3">
      <c r="A32" s="23"/>
      <c r="B32" s="23"/>
      <c r="C32" s="23"/>
      <c r="D32" s="23" t="s">
        <v>77</v>
      </c>
      <c r="E32">
        <v>0</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tabColor rgb="FF92D050"/>
  </sheetPr>
  <dimension ref="A1:L119"/>
  <sheetViews>
    <sheetView showGridLines="0" zoomScaleNormal="100" workbookViewId="0">
      <selection activeCell="D7" sqref="D7"/>
    </sheetView>
  </sheetViews>
  <sheetFormatPr defaultColWidth="8.88671875" defaultRowHeight="14.4" x14ac:dyDescent="0.3"/>
  <cols>
    <col min="1" max="1" width="42.6640625" style="14" customWidth="1"/>
    <col min="2" max="2" width="52.6640625" style="14" customWidth="1"/>
    <col min="3" max="3" width="29.5546875" style="14" customWidth="1"/>
    <col min="4" max="4" width="16.109375" style="14" customWidth="1"/>
    <col min="5" max="6" width="2.109375" style="14" customWidth="1"/>
    <col min="7" max="7" width="46.5546875" style="14" customWidth="1"/>
    <col min="8" max="8" width="15.21875" style="14" customWidth="1"/>
    <col min="9" max="16384" width="8.88671875" style="14"/>
  </cols>
  <sheetData>
    <row r="1" spans="1:12" ht="43.2" customHeight="1" x14ac:dyDescent="0.3">
      <c r="A1" s="541" t="s">
        <v>1970</v>
      </c>
      <c r="B1" s="542"/>
      <c r="C1" s="542"/>
      <c r="D1" s="542"/>
      <c r="E1" s="542"/>
      <c r="F1" s="542"/>
      <c r="G1" s="542"/>
      <c r="H1" s="543"/>
    </row>
    <row r="2" spans="1:12" ht="14.4" customHeight="1" x14ac:dyDescent="0.3">
      <c r="A2" s="544" t="s">
        <v>1971</v>
      </c>
      <c r="B2" s="544"/>
      <c r="C2" s="544"/>
      <c r="D2" s="544"/>
      <c r="E2" s="544"/>
      <c r="F2" s="544"/>
      <c r="G2" s="544"/>
      <c r="H2" s="544"/>
    </row>
    <row r="3" spans="1:12" s="41" customFormat="1" ht="26.4" customHeight="1" thickBot="1" x14ac:dyDescent="0.35">
      <c r="A3" s="545"/>
      <c r="B3" s="545"/>
      <c r="C3" s="545"/>
      <c r="D3" s="545"/>
      <c r="E3" s="545"/>
      <c r="F3" s="545"/>
      <c r="G3" s="545"/>
      <c r="H3" s="545"/>
    </row>
    <row r="4" spans="1:12" s="41" customFormat="1" ht="14.4" customHeight="1" thickBot="1" x14ac:dyDescent="0.4">
      <c r="A4" s="69" t="s">
        <v>1968</v>
      </c>
      <c r="B4" s="69" t="s">
        <v>32</v>
      </c>
      <c r="C4" s="222" t="s">
        <v>33</v>
      </c>
      <c r="D4" s="69" t="s">
        <v>34</v>
      </c>
      <c r="E4" s="45"/>
      <c r="F4" s="45"/>
      <c r="G4" s="45"/>
      <c r="H4" s="45"/>
      <c r="I4" s="45"/>
      <c r="J4" s="45"/>
      <c r="K4" s="45"/>
      <c r="L4" s="45"/>
    </row>
    <row r="5" spans="1:12" ht="14.4" customHeight="1" x14ac:dyDescent="0.35">
      <c r="A5" s="70" t="s">
        <v>2025</v>
      </c>
      <c r="B5" s="70" t="s">
        <v>1997</v>
      </c>
      <c r="C5" s="70" t="s">
        <v>48</v>
      </c>
      <c r="D5" s="71" t="s">
        <v>76</v>
      </c>
      <c r="G5" s="6" t="s">
        <v>66</v>
      </c>
      <c r="H5" s="7" t="s">
        <v>1984</v>
      </c>
    </row>
    <row r="6" spans="1:12" ht="15" customHeight="1" x14ac:dyDescent="0.3">
      <c r="A6" s="4"/>
      <c r="B6" s="4"/>
      <c r="C6" s="4"/>
      <c r="D6" s="5"/>
      <c r="G6" s="8" t="s">
        <v>81</v>
      </c>
      <c r="H6" s="9">
        <f>SUMIF($C$6:$C$111,"Instruction: Salary (Cert./Non Cert.)", $D$6:$D$111)</f>
        <v>0</v>
      </c>
    </row>
    <row r="7" spans="1:12" ht="15" customHeight="1" x14ac:dyDescent="0.3">
      <c r="A7" s="4"/>
      <c r="B7" s="4"/>
      <c r="C7" s="4"/>
      <c r="D7" s="5"/>
      <c r="G7" s="8" t="s">
        <v>82</v>
      </c>
      <c r="H7" s="9">
        <f>SUMIF($C$6:$C$111,"Instruction: Benefits (Cert./Non Cert.)", $D$6:$D$111)</f>
        <v>0</v>
      </c>
    </row>
    <row r="8" spans="1:12" ht="15" customHeight="1" x14ac:dyDescent="0.3">
      <c r="A8" s="4"/>
      <c r="B8" s="4"/>
      <c r="C8" s="4"/>
      <c r="D8" s="5"/>
      <c r="G8" s="10" t="s">
        <v>35</v>
      </c>
      <c r="H8" s="9">
        <f>SUMIF($C$6:$C$111,"Instruction: Professional Services", $D$6:$D$111)</f>
        <v>0</v>
      </c>
    </row>
    <row r="9" spans="1:12" ht="15" customHeight="1" x14ac:dyDescent="0.3">
      <c r="A9" s="4"/>
      <c r="B9" s="4"/>
      <c r="C9" s="4"/>
      <c r="D9" s="5"/>
      <c r="G9" s="10" t="s">
        <v>36</v>
      </c>
      <c r="H9" s="9">
        <f>SUMIF($C$6:$C$111,"Instruction: Rentals", $D$6:$D$111)</f>
        <v>0</v>
      </c>
    </row>
    <row r="10" spans="1:12" ht="15" customHeight="1" x14ac:dyDescent="0.3">
      <c r="A10" s="4"/>
      <c r="B10" s="4"/>
      <c r="C10" s="4"/>
      <c r="D10" s="5"/>
      <c r="G10" s="10" t="s">
        <v>37</v>
      </c>
      <c r="H10" s="9">
        <f>SUMIF($C$6:$C$111,"Instruction: Other Purchased Services", $D$6:$D$111)</f>
        <v>0</v>
      </c>
    </row>
    <row r="11" spans="1:12" ht="15" customHeight="1" x14ac:dyDescent="0.3">
      <c r="A11" s="4"/>
      <c r="B11" s="4"/>
      <c r="C11" s="4"/>
      <c r="D11" s="5"/>
      <c r="G11" s="10" t="s">
        <v>38</v>
      </c>
      <c r="H11" s="9">
        <f>SUMIF($C$6:$C$111,"Instruction: General Supplies", $D$6:$D$111)</f>
        <v>0</v>
      </c>
    </row>
    <row r="12" spans="1:12" ht="15" customHeight="1" x14ac:dyDescent="0.3">
      <c r="A12" s="4"/>
      <c r="B12" s="4"/>
      <c r="C12" s="4"/>
      <c r="D12" s="5"/>
      <c r="G12" s="10" t="s">
        <v>39</v>
      </c>
      <c r="H12" s="9">
        <f>SUMIF($C$6:$C$111,"Instruction: Property", $D$6:$D$111)</f>
        <v>0</v>
      </c>
    </row>
    <row r="13" spans="1:12" ht="15" customHeight="1" x14ac:dyDescent="0.3">
      <c r="A13" s="4"/>
      <c r="B13" s="4"/>
      <c r="C13" s="4"/>
      <c r="D13" s="5"/>
      <c r="G13" s="10"/>
      <c r="H13" s="9"/>
    </row>
    <row r="14" spans="1:12" ht="15" customHeight="1" x14ac:dyDescent="0.3">
      <c r="A14" s="4"/>
      <c r="B14" s="4"/>
      <c r="C14" s="4"/>
      <c r="D14" s="5"/>
      <c r="G14" s="8" t="s">
        <v>83</v>
      </c>
      <c r="H14" s="9">
        <f>SUMIF($C$6:$C$111,"Support Services (Student): Salary (Cert./Non Cert.)", $D$6:$D$111)</f>
        <v>0</v>
      </c>
    </row>
    <row r="15" spans="1:12" ht="15" customHeight="1" x14ac:dyDescent="0.3">
      <c r="A15" s="4"/>
      <c r="B15" s="4"/>
      <c r="C15" s="4"/>
      <c r="D15" s="5"/>
      <c r="G15" s="8" t="s">
        <v>84</v>
      </c>
      <c r="H15" s="9">
        <f>SUMIF($C$6:$C$111,"Support Services (Student): Benefits (Cert./Non Cert.)", $D$6:$D$111)</f>
        <v>0</v>
      </c>
    </row>
    <row r="16" spans="1:12" ht="15" customHeight="1" x14ac:dyDescent="0.3">
      <c r="A16" s="4"/>
      <c r="B16" s="4"/>
      <c r="C16" s="4"/>
      <c r="D16" s="5"/>
      <c r="G16" s="10" t="s">
        <v>40</v>
      </c>
      <c r="H16" s="9">
        <f>SUMIF($C$6:$C$111,"Support Services (Student): Professional Services", $D$6:$D$111)</f>
        <v>0</v>
      </c>
    </row>
    <row r="17" spans="1:8" ht="15" customHeight="1" x14ac:dyDescent="0.3">
      <c r="A17" s="4"/>
      <c r="B17" s="4"/>
      <c r="C17" s="4"/>
      <c r="D17" s="5"/>
      <c r="G17" s="10" t="s">
        <v>41</v>
      </c>
      <c r="H17" s="9">
        <f>SUMIF($C$6:$C$111,"Support Services (Student): Rentals", $D$6:$D$111)</f>
        <v>0</v>
      </c>
    </row>
    <row r="18" spans="1:8" ht="15" customHeight="1" x14ac:dyDescent="0.3">
      <c r="A18" s="4"/>
      <c r="B18" s="4"/>
      <c r="C18" s="4"/>
      <c r="D18" s="5"/>
      <c r="G18" s="10" t="s">
        <v>42</v>
      </c>
      <c r="H18" s="9">
        <f>SUMIF($C$6:$C$111,"Support Services (Student): Other Purchased Services", $D$6:$D$111)</f>
        <v>0</v>
      </c>
    </row>
    <row r="19" spans="1:8" ht="15" customHeight="1" x14ac:dyDescent="0.3">
      <c r="A19" s="4"/>
      <c r="B19" s="4"/>
      <c r="C19" s="4"/>
      <c r="D19" s="5"/>
      <c r="G19" s="10" t="s">
        <v>43</v>
      </c>
      <c r="H19" s="9">
        <f>SUMIF($C$6:$C$111,"Support Services (Student): General Supplies", $D$6:$D$111)</f>
        <v>0</v>
      </c>
    </row>
    <row r="20" spans="1:8" ht="15" customHeight="1" x14ac:dyDescent="0.3">
      <c r="A20" s="4"/>
      <c r="B20" s="4"/>
      <c r="C20" s="4"/>
      <c r="D20" s="5"/>
      <c r="G20" s="10" t="s">
        <v>44</v>
      </c>
      <c r="H20" s="9">
        <f>SUMIF($C$6:$C$111,"Support Services (Student): Property", $D$6:$D$111)</f>
        <v>0</v>
      </c>
    </row>
    <row r="21" spans="1:8" ht="15" customHeight="1" x14ac:dyDescent="0.3">
      <c r="A21" s="4"/>
      <c r="B21" s="4"/>
      <c r="C21" s="4"/>
      <c r="D21" s="5"/>
      <c r="G21" s="10"/>
      <c r="H21" s="9"/>
    </row>
    <row r="22" spans="1:8" ht="15" customHeight="1" x14ac:dyDescent="0.3">
      <c r="A22" s="4"/>
      <c r="B22" s="4"/>
      <c r="C22" s="4"/>
      <c r="D22" s="5"/>
      <c r="G22" s="8" t="s">
        <v>85</v>
      </c>
      <c r="H22" s="9">
        <f>SUMIF($C$6:$C$111,"Improvement of Instruction: Salary (Cert./Non Cert.)", $D$6:$D$111)</f>
        <v>0</v>
      </c>
    </row>
    <row r="23" spans="1:8" ht="15" customHeight="1" x14ac:dyDescent="0.3">
      <c r="A23" s="4"/>
      <c r="B23" s="4"/>
      <c r="C23" s="4"/>
      <c r="D23" s="5"/>
      <c r="G23" s="8" t="s">
        <v>86</v>
      </c>
      <c r="H23" s="9">
        <f>SUMIF($C$6:$C$111,"Improvement of Instruction: Benefits (Cert./Non Cert.)", $D$6:$D$111)</f>
        <v>0</v>
      </c>
    </row>
    <row r="24" spans="1:8" ht="15" customHeight="1" x14ac:dyDescent="0.3">
      <c r="A24" s="4"/>
      <c r="B24" s="4"/>
      <c r="C24" s="4"/>
      <c r="D24" s="5"/>
      <c r="G24" s="10" t="s">
        <v>45</v>
      </c>
      <c r="H24" s="9">
        <f>SUMIF($C$6:$C$111,"Improvement of Instruction: Professional Services", $D$6:$D$111)</f>
        <v>0</v>
      </c>
    </row>
    <row r="25" spans="1:8" ht="15" customHeight="1" x14ac:dyDescent="0.3">
      <c r="A25" s="4"/>
      <c r="B25" s="4"/>
      <c r="C25" s="4"/>
      <c r="D25" s="5"/>
      <c r="G25" s="10" t="s">
        <v>46</v>
      </c>
      <c r="H25" s="9">
        <f>SUMIF($C$6:$C$111,"Improvement of Instruction: Rentals", $D$6:$D$111)</f>
        <v>0</v>
      </c>
    </row>
    <row r="26" spans="1:8" ht="15" customHeight="1" x14ac:dyDescent="0.3">
      <c r="A26" s="4"/>
      <c r="B26" s="4"/>
      <c r="C26" s="4"/>
      <c r="D26" s="5"/>
      <c r="G26" s="10" t="s">
        <v>47</v>
      </c>
      <c r="H26" s="9">
        <f>SUMIF($C$6:$C$111,"Improvement of Instruction: Other Purchased Services", $D$6:$D$111)</f>
        <v>0</v>
      </c>
    </row>
    <row r="27" spans="1:8" ht="15" customHeight="1" x14ac:dyDescent="0.3">
      <c r="A27" s="4"/>
      <c r="B27" s="4"/>
      <c r="C27" s="4"/>
      <c r="D27" s="5"/>
      <c r="G27" s="10" t="s">
        <v>48</v>
      </c>
      <c r="H27" s="9">
        <f>SUMIF($C$6:$C$111,"Improvement of Instruction: General Supplies", $D$6:$D$111)</f>
        <v>0</v>
      </c>
    </row>
    <row r="28" spans="1:8" ht="15" customHeight="1" x14ac:dyDescent="0.3">
      <c r="A28" s="4"/>
      <c r="B28" s="4"/>
      <c r="C28" s="4"/>
      <c r="D28" s="5"/>
      <c r="G28" s="10" t="s">
        <v>49</v>
      </c>
      <c r="H28" s="9">
        <f>SUMIF($C$6:$C$111,"Improvement of Instruction: Property", $D$6:$D$111)</f>
        <v>0</v>
      </c>
    </row>
    <row r="29" spans="1:8" ht="15" customHeight="1" x14ac:dyDescent="0.3">
      <c r="A29" s="4"/>
      <c r="B29" s="4"/>
      <c r="C29" s="4"/>
      <c r="D29" s="5"/>
      <c r="G29" s="10"/>
      <c r="H29" s="9"/>
    </row>
    <row r="30" spans="1:8" ht="15" customHeight="1" x14ac:dyDescent="0.3">
      <c r="A30" s="4"/>
      <c r="B30" s="4"/>
      <c r="C30" s="4"/>
      <c r="D30" s="5"/>
      <c r="G30" s="8" t="s">
        <v>402</v>
      </c>
      <c r="H30" s="9">
        <f>SUMIF($C$6:$C$111,"Other Support Services-Admin: Salary (Cert./Non Cert.)", $D$6:$D$111)</f>
        <v>0</v>
      </c>
    </row>
    <row r="31" spans="1:8" ht="15" customHeight="1" x14ac:dyDescent="0.3">
      <c r="A31" s="4"/>
      <c r="B31" s="4"/>
      <c r="C31" s="4"/>
      <c r="D31" s="5"/>
      <c r="G31" s="8" t="s">
        <v>403</v>
      </c>
      <c r="H31" s="9">
        <f>SUMIF($C$6:$C$111,"Other Support Services-Admin: Benefits (Cert./Non Cert.)", $D$6:$D$111)</f>
        <v>0</v>
      </c>
    </row>
    <row r="32" spans="1:8" ht="15" customHeight="1" x14ac:dyDescent="0.3">
      <c r="A32" s="4"/>
      <c r="B32" s="4"/>
      <c r="C32" s="4"/>
      <c r="D32" s="5"/>
      <c r="G32" s="10" t="s">
        <v>404</v>
      </c>
      <c r="H32" s="9">
        <f>SUMIF($C$6:$C$111,"Other Support Services-Admin: Professional Services", $D$6:$D$111)</f>
        <v>0</v>
      </c>
    </row>
    <row r="33" spans="1:8" ht="15" customHeight="1" x14ac:dyDescent="0.3">
      <c r="A33" s="4"/>
      <c r="B33" s="4"/>
      <c r="C33" s="4"/>
      <c r="D33" s="5"/>
      <c r="G33" s="10" t="s">
        <v>405</v>
      </c>
      <c r="H33" s="9">
        <f>SUMIF($C$6:$C$111,"Other Support Services-Admin: Rentals", $D$6:$D$111)</f>
        <v>0</v>
      </c>
    </row>
    <row r="34" spans="1:8" ht="15" customHeight="1" x14ac:dyDescent="0.3">
      <c r="A34" s="4"/>
      <c r="B34" s="4"/>
      <c r="C34" s="4"/>
      <c r="D34" s="5"/>
      <c r="G34" s="10" t="s">
        <v>406</v>
      </c>
      <c r="H34" s="9">
        <f>SUMIF($C$6:$C$111,"Other Support Services-Admin: Other Purchased Services", $D$6:$D$111)</f>
        <v>0</v>
      </c>
    </row>
    <row r="35" spans="1:8" ht="15" customHeight="1" x14ac:dyDescent="0.3">
      <c r="A35" s="4"/>
      <c r="B35" s="4"/>
      <c r="C35" s="4"/>
      <c r="D35" s="5"/>
      <c r="G35" s="10" t="s">
        <v>407</v>
      </c>
      <c r="H35" s="9">
        <f>SUMIF($C$6:$C$111,"Other Support Services-Admin: General Supplies", $D$6:$D$111)</f>
        <v>0</v>
      </c>
    </row>
    <row r="36" spans="1:8" ht="15" customHeight="1" x14ac:dyDescent="0.3">
      <c r="A36" s="4"/>
      <c r="B36" s="4"/>
      <c r="C36" s="4"/>
      <c r="D36" s="5"/>
      <c r="G36" s="10" t="s">
        <v>408</v>
      </c>
      <c r="H36" s="9">
        <f>SUMIF($C$6:$C$111,"Other Support Services-Admin: Property", $D$6:$D$111)</f>
        <v>0</v>
      </c>
    </row>
    <row r="37" spans="1:8" ht="15" customHeight="1" x14ac:dyDescent="0.3">
      <c r="A37" s="4"/>
      <c r="B37" s="4"/>
      <c r="C37" s="4"/>
      <c r="D37" s="5"/>
      <c r="G37" s="10"/>
      <c r="H37" s="9"/>
    </row>
    <row r="38" spans="1:8" ht="15" customHeight="1" x14ac:dyDescent="0.3">
      <c r="A38" s="4"/>
      <c r="B38" s="4"/>
      <c r="C38" s="4"/>
      <c r="D38" s="5"/>
      <c r="G38" s="8" t="s">
        <v>87</v>
      </c>
      <c r="H38" s="9">
        <f>SUMIF($C$6:$C$111,"Operations and Maintenance: Salary (Cert./Non Cert.)", $D$6:$D$111)</f>
        <v>0</v>
      </c>
    </row>
    <row r="39" spans="1:8" ht="15" customHeight="1" x14ac:dyDescent="0.3">
      <c r="A39" s="4"/>
      <c r="B39" s="4"/>
      <c r="C39" s="4"/>
      <c r="D39" s="5"/>
      <c r="G39" s="8" t="s">
        <v>88</v>
      </c>
      <c r="H39" s="9">
        <f>SUMIF($C$6:$C$111,"Operations and Maintenance: Benefits (Cert./Non Cert.)", $D$6:$D$111)</f>
        <v>0</v>
      </c>
    </row>
    <row r="40" spans="1:8" ht="15" customHeight="1" x14ac:dyDescent="0.3">
      <c r="A40" s="4"/>
      <c r="B40" s="4"/>
      <c r="C40" s="4"/>
      <c r="D40" s="5"/>
      <c r="G40" s="10" t="s">
        <v>50</v>
      </c>
      <c r="H40" s="9">
        <f>SUMIF($C$6:$C$111,"Operations and Maintenance: Professional Services", $D$6:$D$111)</f>
        <v>0</v>
      </c>
    </row>
    <row r="41" spans="1:8" ht="15" customHeight="1" x14ac:dyDescent="0.3">
      <c r="A41" s="4"/>
      <c r="B41" s="4"/>
      <c r="C41" s="4"/>
      <c r="D41" s="5"/>
      <c r="G41" s="10" t="s">
        <v>51</v>
      </c>
      <c r="H41" s="9">
        <f>SUMIF($C$6:$C$111,"Operations and Maintenance: Rentals", $D$6:$D$111)</f>
        <v>0</v>
      </c>
    </row>
    <row r="42" spans="1:8" ht="15" customHeight="1" x14ac:dyDescent="0.3">
      <c r="A42" s="4"/>
      <c r="B42" s="4"/>
      <c r="C42" s="4"/>
      <c r="D42" s="5"/>
      <c r="G42" s="10" t="s">
        <v>52</v>
      </c>
      <c r="H42" s="9">
        <f>SUMIF($C$6:$C$111,"Operations and Maintenance: Other Purchased Services", $D$6:$D$111)</f>
        <v>0</v>
      </c>
    </row>
    <row r="43" spans="1:8" ht="15" customHeight="1" x14ac:dyDescent="0.3">
      <c r="A43" s="4"/>
      <c r="B43" s="4"/>
      <c r="C43" s="4"/>
      <c r="D43" s="5"/>
      <c r="G43" s="10" t="s">
        <v>53</v>
      </c>
      <c r="H43" s="9">
        <f>SUMIF($C$6:$C$111,"Operations and Maintenance: General Supplies", $D$6:$D$111)</f>
        <v>0</v>
      </c>
    </row>
    <row r="44" spans="1:8" ht="15" customHeight="1" x14ac:dyDescent="0.3">
      <c r="A44" s="4"/>
      <c r="B44" s="4"/>
      <c r="C44" s="4"/>
      <c r="D44" s="5"/>
      <c r="G44" s="10" t="s">
        <v>54</v>
      </c>
      <c r="H44" s="9">
        <f>SUMIF($C$6:$C$111,"Operations and Maintenance: Property", $D$6:$D$111)</f>
        <v>0</v>
      </c>
    </row>
    <row r="45" spans="1:8" ht="15" customHeight="1" x14ac:dyDescent="0.3">
      <c r="A45" s="4"/>
      <c r="B45" s="4"/>
      <c r="C45" s="4"/>
      <c r="D45" s="5"/>
      <c r="G45" s="10"/>
      <c r="H45" s="9"/>
    </row>
    <row r="46" spans="1:8" ht="15" customHeight="1" x14ac:dyDescent="0.3">
      <c r="A46" s="4"/>
      <c r="B46" s="4"/>
      <c r="C46" s="4"/>
      <c r="D46" s="5"/>
      <c r="G46" s="8" t="s">
        <v>89</v>
      </c>
      <c r="H46" s="9">
        <f>SUMIF($C$6:$C$111,"Transportation: Salary (Cert./Non Cert.)", $D$6:$D$111)</f>
        <v>0</v>
      </c>
    </row>
    <row r="47" spans="1:8" ht="15" customHeight="1" x14ac:dyDescent="0.3">
      <c r="A47" s="4"/>
      <c r="B47" s="4"/>
      <c r="C47" s="4"/>
      <c r="D47" s="5"/>
      <c r="G47" s="8" t="s">
        <v>90</v>
      </c>
      <c r="H47" s="9">
        <f>SUMIF($C$6:$C$111,"Transportation: Benefits (Cert./Non Cert.)", $D$6:$D$111)</f>
        <v>0</v>
      </c>
    </row>
    <row r="48" spans="1:8" ht="15" customHeight="1" x14ac:dyDescent="0.3">
      <c r="A48" s="4"/>
      <c r="B48" s="4"/>
      <c r="C48" s="4"/>
      <c r="D48" s="5"/>
      <c r="G48" s="10" t="s">
        <v>55</v>
      </c>
      <c r="H48" s="9">
        <f>SUMIF($C$6:$C$111,"Transportation: Professional Services", $D$6:$D$111)</f>
        <v>0</v>
      </c>
    </row>
    <row r="49" spans="1:9" ht="15" customHeight="1" x14ac:dyDescent="0.3">
      <c r="A49" s="4"/>
      <c r="B49" s="4"/>
      <c r="C49" s="4"/>
      <c r="D49" s="5"/>
      <c r="G49" s="10" t="s">
        <v>56</v>
      </c>
      <c r="H49" s="9">
        <f>SUMIF($C$6:$C$111,"Transportation: Rentals", $D$6:$D$111)</f>
        <v>0</v>
      </c>
    </row>
    <row r="50" spans="1:9" ht="15" customHeight="1" x14ac:dyDescent="0.3">
      <c r="A50" s="4"/>
      <c r="B50" s="4"/>
      <c r="C50" s="4"/>
      <c r="D50" s="5"/>
      <c r="G50" s="10" t="s">
        <v>57</v>
      </c>
      <c r="H50" s="9">
        <f>SUMIF($C$6:$C$111,"Transportation: Other Purchased Services", $D$6:$D$111)</f>
        <v>0</v>
      </c>
    </row>
    <row r="51" spans="1:9" ht="15" customHeight="1" x14ac:dyDescent="0.3">
      <c r="A51" s="4"/>
      <c r="B51" s="4"/>
      <c r="C51" s="4"/>
      <c r="D51" s="5"/>
      <c r="G51" s="10" t="s">
        <v>58</v>
      </c>
      <c r="H51" s="9">
        <f>SUMIF($C$6:$C$111,"Transportation: General Supplies", $D$6:$D$111)</f>
        <v>0</v>
      </c>
    </row>
    <row r="52" spans="1:9" ht="15" customHeight="1" x14ac:dyDescent="0.3">
      <c r="A52" s="4"/>
      <c r="B52" s="4"/>
      <c r="C52" s="4"/>
      <c r="D52" s="5"/>
      <c r="G52" s="10" t="s">
        <v>59</v>
      </c>
      <c r="H52" s="9">
        <f>SUMIF($C$6:$C$111,"Transportation: Property", $D$6:$D$111)</f>
        <v>0</v>
      </c>
    </row>
    <row r="53" spans="1:9" ht="15" customHeight="1" x14ac:dyDescent="0.3">
      <c r="A53" s="4"/>
      <c r="B53" s="4"/>
      <c r="C53" s="4"/>
      <c r="D53" s="5"/>
      <c r="G53" s="10"/>
      <c r="H53" s="9"/>
    </row>
    <row r="54" spans="1:9" ht="15" customHeight="1" x14ac:dyDescent="0.3">
      <c r="A54" s="4"/>
      <c r="B54" s="4"/>
      <c r="C54" s="4"/>
      <c r="D54" s="5"/>
      <c r="G54" s="8" t="s">
        <v>91</v>
      </c>
      <c r="H54" s="9">
        <f>SUMIF($C$6:$C$111,"Community Services Operations: Salary (Cert./Non Cert.)", $D$6:$D$111)</f>
        <v>0</v>
      </c>
    </row>
    <row r="55" spans="1:9" ht="15" customHeight="1" x14ac:dyDescent="0.3">
      <c r="A55" s="4"/>
      <c r="B55" s="4"/>
      <c r="C55" s="4"/>
      <c r="D55" s="5"/>
      <c r="G55" s="8" t="s">
        <v>92</v>
      </c>
      <c r="H55" s="9">
        <f>SUMIF($C$6:$C$111,"Community Services Operations: Benefits (Cert./Non Cert.)", $D$6:$D$111)</f>
        <v>0</v>
      </c>
    </row>
    <row r="56" spans="1:9" ht="15" customHeight="1" x14ac:dyDescent="0.3">
      <c r="A56" s="4"/>
      <c r="B56" s="4"/>
      <c r="C56" s="4"/>
      <c r="D56" s="5"/>
      <c r="G56" s="10" t="s">
        <v>60</v>
      </c>
      <c r="H56" s="9">
        <f>SUMIF($C$6:$C$111,"Community Services Operations: Professional Services", $D$6:$D$111)</f>
        <v>0</v>
      </c>
    </row>
    <row r="57" spans="1:9" ht="15" customHeight="1" x14ac:dyDescent="0.3">
      <c r="A57" s="4"/>
      <c r="B57" s="4"/>
      <c r="C57" s="4"/>
      <c r="D57" s="5"/>
      <c r="G57" s="10" t="s">
        <v>61</v>
      </c>
      <c r="H57" s="9">
        <f>SUMIF($C$6:$C$111,"Community Services Operations: Rentals", $D$6:$D$111)</f>
        <v>0</v>
      </c>
    </row>
    <row r="58" spans="1:9" ht="15" customHeight="1" x14ac:dyDescent="0.3">
      <c r="A58" s="4"/>
      <c r="B58" s="4"/>
      <c r="C58" s="4"/>
      <c r="D58" s="5"/>
      <c r="G58" s="10" t="s">
        <v>62</v>
      </c>
      <c r="H58" s="9">
        <f>SUMIF($C$6:$C$111,"Community Services Operations: Other Purchased Services", $D$6:$D$111)</f>
        <v>0</v>
      </c>
    </row>
    <row r="59" spans="1:9" ht="15" customHeight="1" x14ac:dyDescent="0.3">
      <c r="A59" s="4"/>
      <c r="B59" s="4"/>
      <c r="C59" s="4"/>
      <c r="D59" s="5"/>
      <c r="G59" s="10" t="s">
        <v>63</v>
      </c>
      <c r="H59" s="9">
        <f>SUMIF($C$6:$C$111,"Community Services Operations: General Supplies", $D$6:$D$111)</f>
        <v>0</v>
      </c>
    </row>
    <row r="60" spans="1:9" ht="15" customHeight="1" x14ac:dyDescent="0.3">
      <c r="A60" s="4"/>
      <c r="B60" s="4"/>
      <c r="C60" s="4"/>
      <c r="D60" s="5"/>
      <c r="G60" s="10" t="s">
        <v>64</v>
      </c>
      <c r="H60" s="9">
        <f>SUMIF($C$6:$C$111,"Community Services Operations: Property", $D$6:$D$111)</f>
        <v>0</v>
      </c>
    </row>
    <row r="61" spans="1:9" ht="15" customHeight="1" x14ac:dyDescent="0.3">
      <c r="A61" s="4"/>
      <c r="B61" s="4"/>
      <c r="C61" s="4"/>
      <c r="D61" s="5"/>
      <c r="G61" s="10"/>
      <c r="H61" s="9"/>
    </row>
    <row r="62" spans="1:9" ht="15" customHeight="1" x14ac:dyDescent="0.3">
      <c r="A62" s="4"/>
      <c r="B62" s="4"/>
      <c r="C62" s="4"/>
      <c r="D62" s="5"/>
      <c r="G62" s="11" t="s">
        <v>65</v>
      </c>
      <c r="H62" s="9">
        <f>SUMIF($C$6:$C$111,"Indirect Cost Used", $D$6:$D$111)</f>
        <v>0</v>
      </c>
    </row>
    <row r="63" spans="1:9" ht="15" customHeight="1" x14ac:dyDescent="0.3">
      <c r="A63" s="4"/>
      <c r="B63" s="4"/>
      <c r="C63" s="4"/>
      <c r="D63" s="5"/>
      <c r="G63" s="186"/>
      <c r="H63" s="185"/>
    </row>
    <row r="64" spans="1:9" ht="15" customHeight="1" x14ac:dyDescent="0.3">
      <c r="A64" s="4"/>
      <c r="B64" s="4"/>
      <c r="C64" s="4"/>
      <c r="D64" s="5"/>
      <c r="G64" s="165" t="s">
        <v>69</v>
      </c>
      <c r="H64" s="54">
        <f>SUM(H6:H62)</f>
        <v>0</v>
      </c>
      <c r="I64" s="181">
        <f>SUM(H30:H37)+H62</f>
        <v>0</v>
      </c>
    </row>
    <row r="65" spans="1:8" ht="15" customHeight="1" x14ac:dyDescent="0.3">
      <c r="A65" s="4"/>
      <c r="B65" s="4"/>
      <c r="C65" s="4"/>
      <c r="D65" s="5"/>
    </row>
    <row r="66" spans="1:8" ht="15" customHeight="1" x14ac:dyDescent="0.3">
      <c r="A66" s="4"/>
      <c r="B66" s="4"/>
      <c r="C66" s="4"/>
      <c r="D66" s="5"/>
      <c r="G66" s="72" t="s">
        <v>1968</v>
      </c>
      <c r="H66" s="72" t="s">
        <v>1969</v>
      </c>
    </row>
    <row r="67" spans="1:8" ht="15" customHeight="1" x14ac:dyDescent="0.3">
      <c r="A67" s="4"/>
      <c r="B67" s="4"/>
      <c r="C67" s="4"/>
      <c r="D67" s="5"/>
      <c r="G67" s="73" t="str">
        <f>'Equitable Share'!D12</f>
        <v xml:space="preserve"> </v>
      </c>
      <c r="H67" s="14">
        <f>SUMIF($A$6:$A$111,G67,$D$6:$D$111)</f>
        <v>0</v>
      </c>
    </row>
    <row r="68" spans="1:8" ht="15" customHeight="1" x14ac:dyDescent="0.3">
      <c r="A68" s="4"/>
      <c r="B68" s="4"/>
      <c r="C68" s="4"/>
      <c r="D68" s="5"/>
      <c r="G68" s="73" t="str">
        <f>'Equitable Share'!D13</f>
        <v xml:space="preserve"> </v>
      </c>
      <c r="H68" s="14">
        <f t="shared" ref="H68:H110" si="0">SUMIF($A$6:$A$111,G68,$D$6:$D$111)</f>
        <v>0</v>
      </c>
    </row>
    <row r="69" spans="1:8" ht="15" customHeight="1" x14ac:dyDescent="0.3">
      <c r="A69" s="4"/>
      <c r="B69" s="4"/>
      <c r="C69" s="4"/>
      <c r="D69" s="5"/>
      <c r="G69" s="73" t="str">
        <f>'Equitable Share'!D14</f>
        <v xml:space="preserve"> </v>
      </c>
      <c r="H69" s="14">
        <f t="shared" si="0"/>
        <v>0</v>
      </c>
    </row>
    <row r="70" spans="1:8" ht="15" customHeight="1" x14ac:dyDescent="0.3">
      <c r="A70" s="4"/>
      <c r="B70" s="4"/>
      <c r="C70" s="4"/>
      <c r="D70" s="5"/>
      <c r="G70" s="73" t="str">
        <f>'Equitable Share'!D15</f>
        <v xml:space="preserve"> </v>
      </c>
      <c r="H70" s="14">
        <f t="shared" si="0"/>
        <v>0</v>
      </c>
    </row>
    <row r="71" spans="1:8" ht="15" customHeight="1" x14ac:dyDescent="0.3">
      <c r="A71" s="4"/>
      <c r="B71" s="4"/>
      <c r="C71" s="4"/>
      <c r="D71" s="5"/>
      <c r="G71" s="73" t="str">
        <f>'Equitable Share'!D16</f>
        <v xml:space="preserve"> </v>
      </c>
      <c r="H71" s="14">
        <f t="shared" si="0"/>
        <v>0</v>
      </c>
    </row>
    <row r="72" spans="1:8" ht="15" customHeight="1" x14ac:dyDescent="0.3">
      <c r="A72" s="4"/>
      <c r="B72" s="4"/>
      <c r="C72" s="4"/>
      <c r="D72" s="5"/>
      <c r="G72" s="73" t="str">
        <f>'Equitable Share'!D17</f>
        <v xml:space="preserve"> </v>
      </c>
      <c r="H72" s="14">
        <f t="shared" si="0"/>
        <v>0</v>
      </c>
    </row>
    <row r="73" spans="1:8" ht="15" customHeight="1" x14ac:dyDescent="0.3">
      <c r="A73" s="4"/>
      <c r="B73" s="4"/>
      <c r="C73" s="4"/>
      <c r="D73" s="5"/>
      <c r="G73" s="73" t="str">
        <f>'Equitable Share'!D18</f>
        <v xml:space="preserve"> </v>
      </c>
      <c r="H73" s="14">
        <f t="shared" si="0"/>
        <v>0</v>
      </c>
    </row>
    <row r="74" spans="1:8" ht="15" customHeight="1" x14ac:dyDescent="0.3">
      <c r="A74" s="4"/>
      <c r="B74" s="4"/>
      <c r="C74" s="4"/>
      <c r="D74" s="5"/>
      <c r="G74" s="73" t="str">
        <f>'Equitable Share'!D19</f>
        <v xml:space="preserve"> </v>
      </c>
      <c r="H74" s="14">
        <f t="shared" si="0"/>
        <v>0</v>
      </c>
    </row>
    <row r="75" spans="1:8" ht="15" customHeight="1" x14ac:dyDescent="0.3">
      <c r="A75" s="4"/>
      <c r="B75" s="4"/>
      <c r="C75" s="4"/>
      <c r="D75" s="5"/>
      <c r="G75" s="73" t="str">
        <f>'Equitable Share'!D20</f>
        <v xml:space="preserve"> </v>
      </c>
      <c r="H75" s="14">
        <f t="shared" si="0"/>
        <v>0</v>
      </c>
    </row>
    <row r="76" spans="1:8" ht="15" customHeight="1" x14ac:dyDescent="0.3">
      <c r="A76" s="4"/>
      <c r="B76" s="4"/>
      <c r="C76" s="4"/>
      <c r="D76" s="5"/>
      <c r="G76" s="73" t="str">
        <f>'Equitable Share'!D21</f>
        <v xml:space="preserve"> </v>
      </c>
      <c r="H76" s="14">
        <f t="shared" si="0"/>
        <v>0</v>
      </c>
    </row>
    <row r="77" spans="1:8" ht="15" customHeight="1" x14ac:dyDescent="0.3">
      <c r="A77" s="4"/>
      <c r="B77" s="4"/>
      <c r="C77" s="4"/>
      <c r="D77" s="5"/>
      <c r="G77" s="73" t="str">
        <f>'Equitable Share'!D22</f>
        <v xml:space="preserve"> </v>
      </c>
      <c r="H77" s="14">
        <f t="shared" si="0"/>
        <v>0</v>
      </c>
    </row>
    <row r="78" spans="1:8" ht="15" customHeight="1" x14ac:dyDescent="0.3">
      <c r="A78" s="4"/>
      <c r="B78" s="4"/>
      <c r="C78" s="4"/>
      <c r="D78" s="5"/>
      <c r="G78" s="73" t="str">
        <f>'Equitable Share'!D23</f>
        <v xml:space="preserve"> </v>
      </c>
      <c r="H78" s="14">
        <f t="shared" si="0"/>
        <v>0</v>
      </c>
    </row>
    <row r="79" spans="1:8" ht="15" customHeight="1" x14ac:dyDescent="0.3">
      <c r="A79" s="4"/>
      <c r="B79" s="4"/>
      <c r="C79" s="4"/>
      <c r="D79" s="5"/>
      <c r="G79" s="73" t="str">
        <f>'Equitable Share'!D24</f>
        <v xml:space="preserve"> </v>
      </c>
      <c r="H79" s="14">
        <f t="shared" si="0"/>
        <v>0</v>
      </c>
    </row>
    <row r="80" spans="1:8" ht="15" customHeight="1" x14ac:dyDescent="0.3">
      <c r="A80" s="4"/>
      <c r="B80" s="4"/>
      <c r="C80" s="4"/>
      <c r="D80" s="5"/>
      <c r="G80" s="73" t="str">
        <f>'Equitable Share'!D39</f>
        <v xml:space="preserve"> </v>
      </c>
      <c r="H80" s="14">
        <f t="shared" si="0"/>
        <v>0</v>
      </c>
    </row>
    <row r="81" spans="1:8" ht="15" customHeight="1" x14ac:dyDescent="0.3">
      <c r="A81" s="4"/>
      <c r="B81" s="4"/>
      <c r="C81" s="4"/>
      <c r="D81" s="5"/>
      <c r="G81" s="73" t="str">
        <f>'Equitable Share'!D40</f>
        <v xml:space="preserve"> </v>
      </c>
      <c r="H81" s="14">
        <f t="shared" si="0"/>
        <v>0</v>
      </c>
    </row>
    <row r="82" spans="1:8" ht="15" customHeight="1" x14ac:dyDescent="0.3">
      <c r="A82" s="4"/>
      <c r="B82" s="4"/>
      <c r="C82" s="4"/>
      <c r="D82" s="5"/>
      <c r="G82" s="73" t="str">
        <f>'Equitable Share'!D41</f>
        <v xml:space="preserve"> </v>
      </c>
      <c r="H82" s="14">
        <f t="shared" si="0"/>
        <v>0</v>
      </c>
    </row>
    <row r="83" spans="1:8" ht="15" customHeight="1" x14ac:dyDescent="0.3">
      <c r="A83" s="4"/>
      <c r="B83" s="4"/>
      <c r="C83" s="4"/>
      <c r="D83" s="5"/>
      <c r="G83" s="73" t="str">
        <f>'Equitable Share'!D42</f>
        <v xml:space="preserve"> </v>
      </c>
      <c r="H83" s="14">
        <f t="shared" si="0"/>
        <v>0</v>
      </c>
    </row>
    <row r="84" spans="1:8" ht="15" customHeight="1" x14ac:dyDescent="0.3">
      <c r="A84" s="4"/>
      <c r="B84" s="4"/>
      <c r="C84" s="4"/>
      <c r="D84" s="5"/>
      <c r="G84" s="73" t="str">
        <f>'Equitable Share'!D43</f>
        <v xml:space="preserve"> </v>
      </c>
      <c r="H84" s="14">
        <f t="shared" si="0"/>
        <v>0</v>
      </c>
    </row>
    <row r="85" spans="1:8" ht="15" customHeight="1" x14ac:dyDescent="0.3">
      <c r="A85" s="4"/>
      <c r="B85" s="4"/>
      <c r="C85" s="4"/>
      <c r="D85" s="5"/>
      <c r="G85" s="73" t="str">
        <f>'Equitable Share'!D44</f>
        <v xml:space="preserve"> </v>
      </c>
      <c r="H85" s="14">
        <f t="shared" si="0"/>
        <v>0</v>
      </c>
    </row>
    <row r="86" spans="1:8" ht="15" customHeight="1" x14ac:dyDescent="0.3">
      <c r="A86" s="4"/>
      <c r="B86" s="4"/>
      <c r="C86" s="4"/>
      <c r="D86" s="5"/>
      <c r="G86" s="73" t="str">
        <f>'Equitable Share'!D45</f>
        <v xml:space="preserve"> </v>
      </c>
      <c r="H86" s="14">
        <f t="shared" si="0"/>
        <v>0</v>
      </c>
    </row>
    <row r="87" spans="1:8" ht="15" customHeight="1" x14ac:dyDescent="0.3">
      <c r="A87" s="4"/>
      <c r="B87" s="4"/>
      <c r="C87" s="4"/>
      <c r="D87" s="5"/>
      <c r="G87" s="73" t="str">
        <f>'Equitable Share'!D46</f>
        <v xml:space="preserve"> </v>
      </c>
      <c r="H87" s="14">
        <f t="shared" si="0"/>
        <v>0</v>
      </c>
    </row>
    <row r="88" spans="1:8" ht="15" customHeight="1" x14ac:dyDescent="0.3">
      <c r="A88" s="4"/>
      <c r="B88" s="4"/>
      <c r="C88" s="4"/>
      <c r="D88" s="5"/>
      <c r="G88" s="73" t="str">
        <f>'Equitable Share'!D47</f>
        <v xml:space="preserve"> </v>
      </c>
      <c r="H88" s="14">
        <f t="shared" si="0"/>
        <v>0</v>
      </c>
    </row>
    <row r="89" spans="1:8" ht="15" customHeight="1" x14ac:dyDescent="0.3">
      <c r="A89" s="4"/>
      <c r="B89" s="4"/>
      <c r="C89" s="4"/>
      <c r="D89" s="5"/>
      <c r="G89" s="73" t="str">
        <f>'Equitable Share'!D48</f>
        <v xml:space="preserve"> </v>
      </c>
      <c r="H89" s="14">
        <f t="shared" si="0"/>
        <v>0</v>
      </c>
    </row>
    <row r="90" spans="1:8" ht="15" customHeight="1" x14ac:dyDescent="0.3">
      <c r="A90" s="4"/>
      <c r="B90" s="4"/>
      <c r="C90" s="4"/>
      <c r="D90" s="5"/>
      <c r="G90" s="73" t="str">
        <f>'Equitable Share'!D49</f>
        <v xml:space="preserve"> </v>
      </c>
      <c r="H90" s="14">
        <f t="shared" si="0"/>
        <v>0</v>
      </c>
    </row>
    <row r="91" spans="1:8" ht="15" customHeight="1" x14ac:dyDescent="0.3">
      <c r="A91" s="4"/>
      <c r="B91" s="4"/>
      <c r="C91" s="4"/>
      <c r="D91" s="5"/>
      <c r="G91" s="73" t="str">
        <f>'Equitable Share'!D50</f>
        <v xml:space="preserve"> </v>
      </c>
      <c r="H91" s="14">
        <f t="shared" si="0"/>
        <v>0</v>
      </c>
    </row>
    <row r="92" spans="1:8" ht="15" customHeight="1" x14ac:dyDescent="0.3">
      <c r="A92" s="4"/>
      <c r="B92" s="4"/>
      <c r="C92" s="4"/>
      <c r="D92" s="5"/>
      <c r="G92" s="73" t="str">
        <f>'Equitable Share'!D51</f>
        <v xml:space="preserve"> </v>
      </c>
      <c r="H92" s="14">
        <f t="shared" si="0"/>
        <v>0</v>
      </c>
    </row>
    <row r="93" spans="1:8" ht="15" customHeight="1" x14ac:dyDescent="0.3">
      <c r="A93" s="4"/>
      <c r="B93" s="4"/>
      <c r="C93" s="4"/>
      <c r="D93" s="5"/>
      <c r="G93" s="73" t="str">
        <f>'Equitable Share'!D52</f>
        <v xml:space="preserve"> </v>
      </c>
      <c r="H93" s="14">
        <f t="shared" si="0"/>
        <v>0</v>
      </c>
    </row>
    <row r="94" spans="1:8" ht="15" customHeight="1" x14ac:dyDescent="0.3">
      <c r="A94" s="4"/>
      <c r="B94" s="4"/>
      <c r="C94" s="4"/>
      <c r="D94" s="5"/>
      <c r="G94" s="73" t="str">
        <f>'Equitable Share'!D53</f>
        <v xml:space="preserve"> </v>
      </c>
      <c r="H94" s="14">
        <f t="shared" si="0"/>
        <v>0</v>
      </c>
    </row>
    <row r="95" spans="1:8" ht="15" customHeight="1" x14ac:dyDescent="0.3">
      <c r="A95" s="4"/>
      <c r="B95" s="4"/>
      <c r="C95" s="4"/>
      <c r="D95" s="5"/>
      <c r="G95" s="73" t="str">
        <f>'Equitable Share'!D54</f>
        <v xml:space="preserve"> </v>
      </c>
      <c r="H95" s="14">
        <f t="shared" si="0"/>
        <v>0</v>
      </c>
    </row>
    <row r="96" spans="1:8" ht="15" customHeight="1" x14ac:dyDescent="0.3">
      <c r="A96" s="4"/>
      <c r="B96" s="4"/>
      <c r="C96" s="4"/>
      <c r="D96" s="5"/>
      <c r="G96" s="73" t="str">
        <f>'Equitable Share'!D55</f>
        <v xml:space="preserve"> </v>
      </c>
      <c r="H96" s="14">
        <f t="shared" si="0"/>
        <v>0</v>
      </c>
    </row>
    <row r="97" spans="1:8" ht="15" customHeight="1" x14ac:dyDescent="0.3">
      <c r="A97" s="4"/>
      <c r="B97" s="4"/>
      <c r="C97" s="4"/>
      <c r="D97" s="5"/>
      <c r="G97" s="73"/>
      <c r="H97" s="14">
        <f t="shared" si="0"/>
        <v>0</v>
      </c>
    </row>
    <row r="98" spans="1:8" ht="15" customHeight="1" x14ac:dyDescent="0.3">
      <c r="A98" s="4"/>
      <c r="B98" s="4"/>
      <c r="C98" s="4"/>
      <c r="D98" s="5"/>
      <c r="G98" s="73"/>
      <c r="H98" s="14">
        <f t="shared" si="0"/>
        <v>0</v>
      </c>
    </row>
    <row r="99" spans="1:8" ht="15" customHeight="1" x14ac:dyDescent="0.3">
      <c r="A99" s="4"/>
      <c r="B99" s="4"/>
      <c r="C99" s="4"/>
      <c r="D99" s="5"/>
      <c r="G99" s="73"/>
      <c r="H99" s="14">
        <f t="shared" si="0"/>
        <v>0</v>
      </c>
    </row>
    <row r="100" spans="1:8" ht="15" customHeight="1" x14ac:dyDescent="0.3">
      <c r="A100" s="4"/>
      <c r="B100" s="4"/>
      <c r="C100" s="4"/>
      <c r="D100" s="5"/>
      <c r="G100" s="73"/>
      <c r="H100" s="14">
        <f t="shared" si="0"/>
        <v>0</v>
      </c>
    </row>
    <row r="101" spans="1:8" ht="15" customHeight="1" x14ac:dyDescent="0.3">
      <c r="A101" s="4"/>
      <c r="B101" s="4"/>
      <c r="C101" s="4"/>
      <c r="D101" s="5"/>
      <c r="H101" s="14">
        <f t="shared" si="0"/>
        <v>0</v>
      </c>
    </row>
    <row r="102" spans="1:8" ht="15" customHeight="1" x14ac:dyDescent="0.3">
      <c r="A102" s="4"/>
      <c r="B102" s="4"/>
      <c r="C102" s="4"/>
      <c r="D102" s="5"/>
      <c r="H102" s="14">
        <f t="shared" si="0"/>
        <v>0</v>
      </c>
    </row>
    <row r="103" spans="1:8" ht="15" customHeight="1" x14ac:dyDescent="0.3">
      <c r="A103" s="4"/>
      <c r="B103" s="4"/>
      <c r="C103" s="4"/>
      <c r="D103" s="5"/>
      <c r="H103" s="14">
        <f t="shared" si="0"/>
        <v>0</v>
      </c>
    </row>
    <row r="104" spans="1:8" ht="15" customHeight="1" x14ac:dyDescent="0.3">
      <c r="A104" s="4"/>
      <c r="B104" s="4"/>
      <c r="C104" s="4"/>
      <c r="D104" s="5"/>
      <c r="H104" s="14">
        <f t="shared" si="0"/>
        <v>0</v>
      </c>
    </row>
    <row r="105" spans="1:8" ht="15" customHeight="1" x14ac:dyDescent="0.3">
      <c r="A105" s="4"/>
      <c r="B105" s="4"/>
      <c r="C105" s="4"/>
      <c r="D105" s="5"/>
      <c r="H105" s="14">
        <f t="shared" si="0"/>
        <v>0</v>
      </c>
    </row>
    <row r="106" spans="1:8" ht="15" customHeight="1" x14ac:dyDescent="0.3">
      <c r="A106" s="4"/>
      <c r="B106" s="4"/>
      <c r="C106" s="4"/>
      <c r="D106" s="5"/>
      <c r="H106" s="14">
        <f t="shared" si="0"/>
        <v>0</v>
      </c>
    </row>
    <row r="107" spans="1:8" ht="15" customHeight="1" x14ac:dyDescent="0.3">
      <c r="A107" s="4"/>
      <c r="B107" s="4"/>
      <c r="C107" s="4"/>
      <c r="D107" s="5"/>
      <c r="H107" s="14">
        <f t="shared" si="0"/>
        <v>0</v>
      </c>
    </row>
    <row r="108" spans="1:8" ht="15" customHeight="1" x14ac:dyDescent="0.3">
      <c r="A108" s="4"/>
      <c r="B108" s="4"/>
      <c r="C108" s="4"/>
      <c r="D108" s="5"/>
      <c r="H108" s="14">
        <f t="shared" si="0"/>
        <v>0</v>
      </c>
    </row>
    <row r="109" spans="1:8" ht="15" customHeight="1" x14ac:dyDescent="0.3">
      <c r="A109" s="4"/>
      <c r="B109" s="4"/>
      <c r="C109" s="4"/>
      <c r="D109" s="5"/>
      <c r="H109" s="14">
        <f t="shared" si="0"/>
        <v>0</v>
      </c>
    </row>
    <row r="110" spans="1:8" ht="15" customHeight="1" x14ac:dyDescent="0.3">
      <c r="A110" s="4"/>
      <c r="B110" s="4"/>
      <c r="C110" s="4"/>
      <c r="D110" s="5"/>
      <c r="H110" s="14">
        <f t="shared" si="0"/>
        <v>0</v>
      </c>
    </row>
    <row r="111" spans="1:8" ht="15" customHeight="1" x14ac:dyDescent="0.3">
      <c r="A111" s="4"/>
      <c r="B111" s="4"/>
      <c r="C111" s="4"/>
      <c r="D111" s="5"/>
    </row>
    <row r="112" spans="1:8" ht="15.6" x14ac:dyDescent="0.3">
      <c r="A112" s="74"/>
      <c r="B112" s="74"/>
      <c r="C112" s="75" t="s">
        <v>1986</v>
      </c>
      <c r="D112" s="166">
        <f>SUM(D6:D111)</f>
        <v>0</v>
      </c>
    </row>
    <row r="113" spans="3:4" ht="15.6" x14ac:dyDescent="0.3">
      <c r="C113" s="205" t="s">
        <v>1987</v>
      </c>
      <c r="D113" s="204" t="str">
        <f>Overview!G13</f>
        <v xml:space="preserve"> </v>
      </c>
    </row>
    <row r="114" spans="3:4" x14ac:dyDescent="0.3">
      <c r="C114" s="77" t="s">
        <v>400</v>
      </c>
      <c r="D114" s="54" t="str">
        <f>IFERROR(D113-D112,"")</f>
        <v/>
      </c>
    </row>
    <row r="118" spans="3:4" x14ac:dyDescent="0.3">
      <c r="D118" s="73"/>
    </row>
    <row r="119" spans="3:4" x14ac:dyDescent="0.3">
      <c r="D119" s="73"/>
    </row>
  </sheetData>
  <sheetProtection algorithmName="SHA-512" hashValue="jDUOZMRiVh8Q1Cud43pcgmG69zNpULtqszdeG7gMqwXORb1HxQZmLbJNST9oWwPnydaSUAG7C9KwI+WlRas/cQ==" saltValue="2410FdnB4Tb1/iHpNcf8Mw==" spinCount="100000" sheet="1" objects="1" scenarios="1" selectLockedCells="1"/>
  <dataConsolidate topLabels="1">
    <dataRefs count="2">
      <dataRef ref="A4:D61" sheet="Nonpub Activities"/>
      <dataRef ref="D4:D61" sheet="Nonpub Activities"/>
    </dataRefs>
  </dataConsolidate>
  <mergeCells count="2">
    <mergeCell ref="A1:H1"/>
    <mergeCell ref="A2:H3"/>
  </mergeCells>
  <conditionalFormatting sqref="H6:H63">
    <cfRule type="expression" dxfId="208" priority="15">
      <formula>MOD(ROW(),2)=0</formula>
    </cfRule>
  </conditionalFormatting>
  <conditionalFormatting sqref="G6:G62">
    <cfRule type="expression" dxfId="207" priority="12">
      <formula>MOD(ROW(),2)=0</formula>
    </cfRule>
  </conditionalFormatting>
  <conditionalFormatting sqref="D112">
    <cfRule type="cellIs" dxfId="206" priority="8" operator="lessThan">
      <formula>$D$113</formula>
    </cfRule>
    <cfRule type="cellIs" dxfId="205" priority="10" operator="equal">
      <formula>$D$113</formula>
    </cfRule>
    <cfRule type="cellIs" dxfId="204" priority="11" operator="greaterThan">
      <formula>$D$113</formula>
    </cfRule>
  </conditionalFormatting>
  <conditionalFormatting sqref="G63">
    <cfRule type="expression" dxfId="203" priority="6">
      <formula>MOD(ROW(),2)=0</formula>
    </cfRule>
  </conditionalFormatting>
  <conditionalFormatting sqref="H67:H110">
    <cfRule type="expression" dxfId="202" priority="2" stopIfTrue="1">
      <formula>H67=0</formula>
    </cfRule>
  </conditionalFormatting>
  <dataValidations count="2">
    <dataValidation type="list" allowBlank="1" showInputMessage="1" showErrorMessage="1" promptTitle="Select Budget Category" sqref="C5" xr:uid="{00000000-0002-0000-0500-000000000000}">
      <formula1>$G$6:$G$62</formula1>
    </dataValidation>
    <dataValidation type="list" allowBlank="1" showInputMessage="1" showErrorMessage="1" promptTitle="Select Budget Category" sqref="C6:C111" xr:uid="{00000000-0002-0000-0500-000001000000}">
      <formula1>$G$6:$G$63</formula1>
    </dataValidation>
  </dataValidations>
  <hyperlinks>
    <hyperlink ref="C4" location="'Budget Category'!A1" display="Budget Category" xr:uid="{C9B3ED19-488A-422A-94CE-EC9D69784427}"/>
  </hyperlinks>
  <pageMargins left="0.7" right="0.7" top="0.75" bottom="0.75" header="0.3" footer="0.3"/>
  <pageSetup orientation="landscape" r:id="rId1"/>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3" id="{094D061D-075A-41BC-88A5-B759A2943D6A}">
            <xm:f>H67&lt;'Equitable Share'!K12:M12</xm:f>
            <x14:dxf>
              <fill>
                <patternFill>
                  <bgColor rgb="FFFFFF00"/>
                </patternFill>
              </fill>
            </x14:dxf>
          </x14:cfRule>
          <x14:cfRule type="expression" priority="4" id="{D8280918-4115-4E35-A70E-9A8F4CD3BF5A}">
            <xm:f>H67&gt;'Equitable Share'!K12:M12</xm:f>
            <x14:dxf>
              <fill>
                <patternFill>
                  <bgColor rgb="FFFF0000"/>
                </patternFill>
              </fill>
            </x14:dxf>
          </x14:cfRule>
          <x14:cfRule type="expression" priority="5" id="{45FF4A50-619A-48FB-BE7B-AC578AD43588}">
            <xm:f>H67='Equitable Share'!K12:M12</xm:f>
            <x14:dxf>
              <fill>
                <patternFill>
                  <bgColor rgb="FF92D050"/>
                </patternFill>
              </fill>
            </x14:dxf>
          </x14:cfRule>
          <xm:sqref>H67:H110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Please choose NPS from list." xr:uid="{DDEEE78A-7B60-4695-9E7C-AC53AE732A04}">
          <x14:formula1>
            <xm:f>'Equitable Share'!$D$12:$D$55</xm:f>
          </x14:formula1>
          <xm:sqref>A6:A111</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1">
    <tabColor rgb="FF92D050"/>
  </sheetPr>
  <dimension ref="A1:M73"/>
  <sheetViews>
    <sheetView showGridLines="0" zoomScaleNormal="100" workbookViewId="0">
      <selection activeCell="E6" sqref="E6"/>
    </sheetView>
  </sheetViews>
  <sheetFormatPr defaultColWidth="8.88671875" defaultRowHeight="14.4" x14ac:dyDescent="0.3"/>
  <cols>
    <col min="1" max="1" width="61" style="14" customWidth="1"/>
    <col min="2" max="2" width="12.44140625" style="53" customWidth="1"/>
    <col min="3" max="3" width="32.33203125" style="14" customWidth="1"/>
    <col min="4" max="4" width="15.33203125" style="53" customWidth="1"/>
    <col min="5" max="5" width="16.44140625" style="14" customWidth="1"/>
    <col min="6" max="7" width="2.109375" style="14" customWidth="1"/>
    <col min="8" max="8" width="46.5546875" style="14" customWidth="1"/>
    <col min="9" max="9" width="17.5546875" style="14" customWidth="1"/>
    <col min="10" max="16384" width="8.88671875" style="14"/>
  </cols>
  <sheetData>
    <row r="1" spans="1:13" ht="43.2" customHeight="1" thickBot="1" x14ac:dyDescent="0.35">
      <c r="A1" s="537" t="s">
        <v>134</v>
      </c>
      <c r="B1" s="538"/>
      <c r="C1" s="538"/>
      <c r="D1" s="538"/>
      <c r="E1" s="538"/>
      <c r="F1" s="538"/>
      <c r="G1" s="538"/>
      <c r="H1" s="538"/>
      <c r="I1" s="546"/>
    </row>
    <row r="2" spans="1:13" ht="14.4" customHeight="1" x14ac:dyDescent="0.3">
      <c r="A2" s="547" t="s">
        <v>1985</v>
      </c>
      <c r="B2" s="548"/>
      <c r="C2" s="548"/>
      <c r="D2" s="548"/>
      <c r="E2" s="548"/>
      <c r="F2" s="548"/>
      <c r="G2" s="548"/>
      <c r="H2" s="548"/>
      <c r="I2" s="549"/>
    </row>
    <row r="3" spans="1:13" s="41" customFormat="1" ht="14.4" customHeight="1" thickBot="1" x14ac:dyDescent="0.35">
      <c r="A3" s="550"/>
      <c r="B3" s="551"/>
      <c r="C3" s="551"/>
      <c r="D3" s="551"/>
      <c r="E3" s="551"/>
      <c r="F3" s="551"/>
      <c r="G3" s="551"/>
      <c r="H3" s="551"/>
      <c r="I3" s="552"/>
    </row>
    <row r="4" spans="1:13" s="41" customFormat="1" ht="14.4" customHeight="1" thickBot="1" x14ac:dyDescent="0.4">
      <c r="A4" s="42" t="s">
        <v>32</v>
      </c>
      <c r="B4" s="43" t="s">
        <v>135</v>
      </c>
      <c r="C4" s="223" t="s">
        <v>33</v>
      </c>
      <c r="D4" s="44"/>
      <c r="E4" s="42" t="s">
        <v>34</v>
      </c>
      <c r="F4" s="45"/>
      <c r="G4" s="45"/>
      <c r="H4" s="45"/>
      <c r="I4" s="45"/>
      <c r="J4" s="45"/>
      <c r="K4" s="45"/>
      <c r="L4" s="45"/>
      <c r="M4" s="45"/>
    </row>
    <row r="5" spans="1:13" ht="14.4" customHeight="1" thickBot="1" x14ac:dyDescent="0.4">
      <c r="A5" s="46" t="s">
        <v>136</v>
      </c>
      <c r="B5" s="47" t="s">
        <v>137</v>
      </c>
      <c r="C5" s="557" t="s">
        <v>81</v>
      </c>
      <c r="D5" s="558"/>
      <c r="E5" s="48" t="s">
        <v>76</v>
      </c>
      <c r="H5" s="6" t="s">
        <v>66</v>
      </c>
      <c r="I5" s="7" t="s">
        <v>34</v>
      </c>
    </row>
    <row r="6" spans="1:13" ht="14.4" customHeight="1" x14ac:dyDescent="0.3">
      <c r="A6" s="136"/>
      <c r="B6" s="219"/>
      <c r="C6" s="553"/>
      <c r="D6" s="554"/>
      <c r="E6" s="65"/>
      <c r="H6" s="8" t="s">
        <v>81</v>
      </c>
      <c r="I6" s="9">
        <f>SUMIF($C$6:$C$35,"Instruction: Salary (Cert./Non Cert.)", $E$6:$E$35)</f>
        <v>0</v>
      </c>
    </row>
    <row r="7" spans="1:13" ht="14.4" customHeight="1" x14ac:dyDescent="0.3">
      <c r="A7" s="55"/>
      <c r="B7" s="183"/>
      <c r="C7" s="555"/>
      <c r="D7" s="556"/>
      <c r="E7" s="66"/>
      <c r="H7" s="8" t="s">
        <v>82</v>
      </c>
      <c r="I7" s="9">
        <f>SUMIF($C$6:$C$35,"Instruction: Benefits (Cert./Non Cert.)", $E$6:$E$35)</f>
        <v>0</v>
      </c>
    </row>
    <row r="8" spans="1:13" ht="14.4" customHeight="1" x14ac:dyDescent="0.3">
      <c r="A8" s="57"/>
      <c r="B8" s="58"/>
      <c r="C8" s="559"/>
      <c r="D8" s="560"/>
      <c r="E8" s="67"/>
      <c r="H8" s="10" t="s">
        <v>35</v>
      </c>
      <c r="I8" s="9">
        <f>SUMIF($C$6:$C$35,"Instruction: Professional Services", $E$6:$E$35)</f>
        <v>0</v>
      </c>
    </row>
    <row r="9" spans="1:13" ht="14.4" customHeight="1" x14ac:dyDescent="0.3">
      <c r="A9" s="55"/>
      <c r="B9" s="56"/>
      <c r="C9" s="555"/>
      <c r="D9" s="556"/>
      <c r="E9" s="68"/>
      <c r="H9" s="10" t="s">
        <v>36</v>
      </c>
      <c r="I9" s="9">
        <f>SUMIF($C$6:$C$35,"Instruction: Rentals", $E$6:$E$35)</f>
        <v>0</v>
      </c>
    </row>
    <row r="10" spans="1:13" ht="14.4" customHeight="1" x14ac:dyDescent="0.3">
      <c r="A10" s="57"/>
      <c r="B10" s="58"/>
      <c r="C10" s="559"/>
      <c r="D10" s="560"/>
      <c r="E10" s="67"/>
      <c r="H10" s="10" t="s">
        <v>37</v>
      </c>
      <c r="I10" s="9">
        <f>SUMIF($C$6:$C$35,"Instruction: Other Purchased Services", $E$6:$E$35)</f>
        <v>0</v>
      </c>
    </row>
    <row r="11" spans="1:13" ht="14.4" customHeight="1" x14ac:dyDescent="0.3">
      <c r="A11" s="55"/>
      <c r="B11" s="56"/>
      <c r="C11" s="555"/>
      <c r="D11" s="556"/>
      <c r="E11" s="68"/>
      <c r="H11" s="10" t="s">
        <v>38</v>
      </c>
      <c r="I11" s="9">
        <f>SUMIF($C$6:$C$35,"Instruction: General Supplies", $E$6:$E$35)</f>
        <v>0</v>
      </c>
    </row>
    <row r="12" spans="1:13" ht="14.4" customHeight="1" x14ac:dyDescent="0.3">
      <c r="A12" s="57"/>
      <c r="B12" s="58"/>
      <c r="C12" s="559"/>
      <c r="D12" s="560"/>
      <c r="E12" s="67"/>
      <c r="H12" s="10" t="s">
        <v>39</v>
      </c>
      <c r="I12" s="9">
        <f>SUMIF($C$6:$C$35,"Instruction: Property", $E$6:$E$35)</f>
        <v>0</v>
      </c>
    </row>
    <row r="13" spans="1:13" ht="14.4" customHeight="1" x14ac:dyDescent="0.3">
      <c r="A13" s="55"/>
      <c r="B13" s="56"/>
      <c r="C13" s="555"/>
      <c r="D13" s="556"/>
      <c r="E13" s="68"/>
      <c r="H13" s="10"/>
      <c r="I13" s="9"/>
    </row>
    <row r="14" spans="1:13" ht="14.4" customHeight="1" x14ac:dyDescent="0.3">
      <c r="A14" s="57"/>
      <c r="B14" s="58"/>
      <c r="C14" s="559"/>
      <c r="D14" s="560"/>
      <c r="E14" s="67"/>
      <c r="H14" s="8" t="s">
        <v>83</v>
      </c>
      <c r="I14" s="9">
        <f>SUMIF($C$6:$C$35,"Support Services (Student): Salary (Cert./Non Cert.)", $E$6:$E$35)</f>
        <v>0</v>
      </c>
    </row>
    <row r="15" spans="1:13" ht="14.4" customHeight="1" x14ac:dyDescent="0.3">
      <c r="A15" s="55"/>
      <c r="B15" s="56"/>
      <c r="C15" s="555"/>
      <c r="D15" s="556"/>
      <c r="E15" s="68"/>
      <c r="H15" s="8" t="s">
        <v>84</v>
      </c>
      <c r="I15" s="9">
        <f>SUMIF($C$6:$C$35,"Support Services (Student): Benefits (Cert./Non Cert.)", $E$6:$E$35)</f>
        <v>0</v>
      </c>
    </row>
    <row r="16" spans="1:13" x14ac:dyDescent="0.3">
      <c r="A16" s="57"/>
      <c r="B16" s="58"/>
      <c r="C16" s="559"/>
      <c r="D16" s="560"/>
      <c r="E16" s="67"/>
      <c r="H16" s="10" t="s">
        <v>40</v>
      </c>
      <c r="I16" s="9">
        <f>SUMIF($C$6:$C$35,"Support Services (Student): Professional Services", $E$6:$E$35)</f>
        <v>0</v>
      </c>
    </row>
    <row r="17" spans="1:9" x14ac:dyDescent="0.3">
      <c r="A17" s="55"/>
      <c r="B17" s="56"/>
      <c r="C17" s="555"/>
      <c r="D17" s="556"/>
      <c r="E17" s="68"/>
      <c r="H17" s="10" t="s">
        <v>41</v>
      </c>
      <c r="I17" s="9">
        <f>SUMIF($C$6:$C$35,"Support Services (Student): Rentals", $E$6:$E$35)</f>
        <v>0</v>
      </c>
    </row>
    <row r="18" spans="1:9" x14ac:dyDescent="0.3">
      <c r="A18" s="57"/>
      <c r="B18" s="58"/>
      <c r="C18" s="559"/>
      <c r="D18" s="560"/>
      <c r="E18" s="67"/>
      <c r="H18" s="10" t="s">
        <v>42</v>
      </c>
      <c r="I18" s="9">
        <f>SUMIF($C$6:$C$35,"Support Services (Student): Other Purchased Services", $E$6:$E$35)</f>
        <v>0</v>
      </c>
    </row>
    <row r="19" spans="1:9" x14ac:dyDescent="0.3">
      <c r="A19" s="55"/>
      <c r="B19" s="56"/>
      <c r="C19" s="555"/>
      <c r="D19" s="556"/>
      <c r="E19" s="68"/>
      <c r="H19" s="10" t="s">
        <v>43</v>
      </c>
      <c r="I19" s="9">
        <f>SUMIF($C$6:$C$35,"Support Services (Student): General Supplies", $E$6:$E$35)</f>
        <v>0</v>
      </c>
    </row>
    <row r="20" spans="1:9" x14ac:dyDescent="0.3">
      <c r="A20" s="57"/>
      <c r="B20" s="58"/>
      <c r="C20" s="559"/>
      <c r="D20" s="560"/>
      <c r="E20" s="67"/>
      <c r="H20" s="10" t="s">
        <v>44</v>
      </c>
      <c r="I20" s="9">
        <f>SUMIF($C$6:$C$35,"Support Services (Student): Property", $E$6:$E$35)</f>
        <v>0</v>
      </c>
    </row>
    <row r="21" spans="1:9" x14ac:dyDescent="0.3">
      <c r="A21" s="55"/>
      <c r="B21" s="56"/>
      <c r="C21" s="555"/>
      <c r="D21" s="556"/>
      <c r="E21" s="68"/>
      <c r="H21" s="10"/>
      <c r="I21" s="9"/>
    </row>
    <row r="22" spans="1:9" x14ac:dyDescent="0.3">
      <c r="A22" s="57"/>
      <c r="B22" s="58"/>
      <c r="C22" s="559"/>
      <c r="D22" s="560"/>
      <c r="E22" s="67"/>
      <c r="H22" s="8" t="s">
        <v>85</v>
      </c>
      <c r="I22" s="9">
        <f>SUMIF($C$6:$C$35,"Improvement of Instruction: Salary (Cert./Non Cert.)", $E$6:$E$35)</f>
        <v>0</v>
      </c>
    </row>
    <row r="23" spans="1:9" x14ac:dyDescent="0.3">
      <c r="A23" s="55"/>
      <c r="B23" s="56"/>
      <c r="C23" s="555"/>
      <c r="D23" s="556"/>
      <c r="E23" s="68"/>
      <c r="H23" s="8" t="s">
        <v>86</v>
      </c>
      <c r="I23" s="9">
        <f>SUMIF($C$6:$C$35,"Improvement of Instruction: Benefits (Cert./Non Cert.)", $E$6:$E$35)</f>
        <v>0</v>
      </c>
    </row>
    <row r="24" spans="1:9" x14ac:dyDescent="0.3">
      <c r="A24" s="57"/>
      <c r="B24" s="58"/>
      <c r="C24" s="559"/>
      <c r="D24" s="560"/>
      <c r="E24" s="67"/>
      <c r="H24" s="10" t="s">
        <v>45</v>
      </c>
      <c r="I24" s="9">
        <f>SUMIF($C$6:$C$35,"Improvement of Instruction: Professional Services", $E$6:$E$35)</f>
        <v>0</v>
      </c>
    </row>
    <row r="25" spans="1:9" x14ac:dyDescent="0.3">
      <c r="A25" s="55"/>
      <c r="B25" s="56"/>
      <c r="C25" s="555"/>
      <c r="D25" s="556"/>
      <c r="E25" s="68"/>
      <c r="H25" s="10" t="s">
        <v>46</v>
      </c>
      <c r="I25" s="9">
        <f>SUMIF($C$6:$C$35,"Improvement of Instruction: Rentals", $E$6:$E$35)</f>
        <v>0</v>
      </c>
    </row>
    <row r="26" spans="1:9" x14ac:dyDescent="0.3">
      <c r="A26" s="57"/>
      <c r="B26" s="58"/>
      <c r="C26" s="559"/>
      <c r="D26" s="560"/>
      <c r="E26" s="67"/>
      <c r="H26" s="10" t="s">
        <v>47</v>
      </c>
      <c r="I26" s="9">
        <f>SUMIF($C$6:$C$35,"Improvement of Instruction: Other Purchased Services", $E$6:$E$35)</f>
        <v>0</v>
      </c>
    </row>
    <row r="27" spans="1:9" x14ac:dyDescent="0.3">
      <c r="A27" s="55"/>
      <c r="B27" s="56"/>
      <c r="C27" s="555"/>
      <c r="D27" s="556"/>
      <c r="E27" s="68"/>
      <c r="H27" s="10" t="s">
        <v>48</v>
      </c>
      <c r="I27" s="9">
        <f>SUMIF($C$6:$C$35,"Improvement of Instruction: General Supplies", $E$6:$E$35)</f>
        <v>0</v>
      </c>
    </row>
    <row r="28" spans="1:9" x14ac:dyDescent="0.3">
      <c r="A28" s="57"/>
      <c r="B28" s="58"/>
      <c r="C28" s="559"/>
      <c r="D28" s="560"/>
      <c r="E28" s="67"/>
      <c r="H28" s="10" t="s">
        <v>49</v>
      </c>
      <c r="I28" s="9">
        <f>SUMIF($C$6:$C$35,"Improvement of Instruction: Property", $E$6:$E$35)</f>
        <v>0</v>
      </c>
    </row>
    <row r="29" spans="1:9" x14ac:dyDescent="0.3">
      <c r="A29" s="55"/>
      <c r="B29" s="56"/>
      <c r="C29" s="555"/>
      <c r="D29" s="556"/>
      <c r="E29" s="68"/>
      <c r="H29" s="10"/>
      <c r="I29" s="9"/>
    </row>
    <row r="30" spans="1:9" x14ac:dyDescent="0.3">
      <c r="A30" s="57"/>
      <c r="B30" s="58"/>
      <c r="C30" s="559"/>
      <c r="D30" s="560"/>
      <c r="E30" s="67"/>
      <c r="H30" s="8" t="s">
        <v>402</v>
      </c>
      <c r="I30" s="9">
        <f>SUMIF($C$6:$C$35,"Other Support Services-Admin: Salary (Cert./Non Cert.)", $E$6:$E$35)</f>
        <v>0</v>
      </c>
    </row>
    <row r="31" spans="1:9" x14ac:dyDescent="0.3">
      <c r="A31" s="55"/>
      <c r="B31" s="56"/>
      <c r="C31" s="555"/>
      <c r="D31" s="556"/>
      <c r="E31" s="68"/>
      <c r="H31" s="8" t="s">
        <v>403</v>
      </c>
      <c r="I31" s="9">
        <f>SUMIF($C$6:$C$35,"Other Support Services-Admin: Benefits (Cert./Non Cert.)", $E$6:$E$35)</f>
        <v>0</v>
      </c>
    </row>
    <row r="32" spans="1:9" x14ac:dyDescent="0.3">
      <c r="A32" s="57"/>
      <c r="B32" s="58"/>
      <c r="C32" s="559"/>
      <c r="D32" s="560"/>
      <c r="E32" s="67"/>
      <c r="H32" s="10" t="s">
        <v>404</v>
      </c>
      <c r="I32" s="9">
        <f>SUMIF($C$6:$C$35,"Other Support Services-Admin: Professional Services", $E$6:$E$35)</f>
        <v>0</v>
      </c>
    </row>
    <row r="33" spans="1:9" x14ac:dyDescent="0.3">
      <c r="A33" s="55"/>
      <c r="B33" s="56"/>
      <c r="C33" s="555"/>
      <c r="D33" s="556"/>
      <c r="E33" s="68"/>
      <c r="H33" s="10" t="s">
        <v>405</v>
      </c>
      <c r="I33" s="9">
        <f>SUMIF($C$6:$C$35,"Other Support Services-Admin: Rentals", $E$6:$E$35)</f>
        <v>0</v>
      </c>
    </row>
    <row r="34" spans="1:9" x14ac:dyDescent="0.3">
      <c r="A34" s="57"/>
      <c r="B34" s="58"/>
      <c r="C34" s="559"/>
      <c r="D34" s="560"/>
      <c r="E34" s="67"/>
      <c r="H34" s="10" t="s">
        <v>406</v>
      </c>
      <c r="I34" s="9">
        <f>SUMIF($C$6:$C$35,"Other Support Services-Admin: Other Purchased Services", $E$6:$E$35)</f>
        <v>0</v>
      </c>
    </row>
    <row r="35" spans="1:9" ht="15" thickBot="1" x14ac:dyDescent="0.35">
      <c r="A35" s="55"/>
      <c r="B35" s="56"/>
      <c r="C35" s="555"/>
      <c r="D35" s="556"/>
      <c r="E35" s="190"/>
      <c r="H35" s="10" t="s">
        <v>407</v>
      </c>
      <c r="I35" s="9">
        <f>SUMIF($C$6:$C$35,"Other Support Services-Admin: General Supplies", $E$6:$E$35)</f>
        <v>0</v>
      </c>
    </row>
    <row r="36" spans="1:9" ht="15" customHeight="1" thickTop="1" x14ac:dyDescent="0.35">
      <c r="A36" s="49"/>
      <c r="B36" s="50"/>
      <c r="C36" s="51"/>
      <c r="D36" s="52" t="s">
        <v>77</v>
      </c>
      <c r="E36" s="54">
        <f>SUM(E6:E35)</f>
        <v>0</v>
      </c>
      <c r="H36" s="10" t="s">
        <v>408</v>
      </c>
      <c r="I36" s="9">
        <f>SUMIF($C$6:$C$35,"Other Support Services-Admin: Property", $E$6:$E$35)</f>
        <v>0</v>
      </c>
    </row>
    <row r="37" spans="1:9" ht="15" customHeight="1" x14ac:dyDescent="0.3">
      <c r="C37" s="561" t="s">
        <v>93</v>
      </c>
      <c r="D37" s="562"/>
      <c r="E37" s="164" t="str">
        <f>Overview!G14</f>
        <v/>
      </c>
      <c r="H37" s="10"/>
      <c r="I37" s="9"/>
    </row>
    <row r="38" spans="1:9" x14ac:dyDescent="0.3">
      <c r="C38" s="563" t="s">
        <v>400</v>
      </c>
      <c r="D38" s="564"/>
      <c r="E38" s="54" t="str">
        <f>IFERROR(E37-E36,"")</f>
        <v/>
      </c>
      <c r="H38" s="8" t="s">
        <v>87</v>
      </c>
      <c r="I38" s="9">
        <f>SUMIF($C$6:$C$35,"Operations and Maintenance: Salary (Cert./Non Cert.)", $E$6:$E$35)</f>
        <v>0</v>
      </c>
    </row>
    <row r="39" spans="1:9" x14ac:dyDescent="0.3">
      <c r="H39" s="8" t="s">
        <v>88</v>
      </c>
      <c r="I39" s="9">
        <f>SUMIF($C$6:$C$35,"Operations and Maintenance: Benefits (Cert./Non Cert.)", $E$6:$E$35)</f>
        <v>0</v>
      </c>
    </row>
    <row r="40" spans="1:9" x14ac:dyDescent="0.3">
      <c r="H40" s="10" t="s">
        <v>50</v>
      </c>
      <c r="I40" s="9">
        <f>SUMIF($C$6:$C$35,"Operations and Maintenance: Professional Services", $E$6:$E$35)</f>
        <v>0</v>
      </c>
    </row>
    <row r="41" spans="1:9" x14ac:dyDescent="0.3">
      <c r="H41" s="10" t="s">
        <v>51</v>
      </c>
      <c r="I41" s="9">
        <f>SUMIF($C$6:$C$35,"Operations and Maintenance: Rentals", $E$6:$E$35)</f>
        <v>0</v>
      </c>
    </row>
    <row r="42" spans="1:9" x14ac:dyDescent="0.3">
      <c r="H42" s="10" t="s">
        <v>52</v>
      </c>
      <c r="I42" s="9">
        <f>SUMIF($C$6:$C$35,"Operations and Maintenance: Other Purchased Services", $E$6:$E$35)</f>
        <v>0</v>
      </c>
    </row>
    <row r="43" spans="1:9" x14ac:dyDescent="0.3">
      <c r="H43" s="10" t="s">
        <v>53</v>
      </c>
      <c r="I43" s="9">
        <f>SUMIF($C$6:$C$35,"Operations and Maintenance: General Supplies", $E$6:$E$35)</f>
        <v>0</v>
      </c>
    </row>
    <row r="44" spans="1:9" x14ac:dyDescent="0.3">
      <c r="H44" s="10" t="s">
        <v>54</v>
      </c>
      <c r="I44" s="9">
        <f>SUMIF($C$6:$C$35,"Operations and Maintenance: Property", $E$6:$E$35)</f>
        <v>0</v>
      </c>
    </row>
    <row r="45" spans="1:9" x14ac:dyDescent="0.3">
      <c r="H45" s="10"/>
      <c r="I45" s="9"/>
    </row>
    <row r="46" spans="1:9" x14ac:dyDescent="0.3">
      <c r="H46" s="8" t="s">
        <v>89</v>
      </c>
      <c r="I46" s="9">
        <f>SUMIF($C$6:$C$35,"Transportation: Salary (Cert./Non Cert.)", $E$6:$E$35)</f>
        <v>0</v>
      </c>
    </row>
    <row r="47" spans="1:9" x14ac:dyDescent="0.3">
      <c r="H47" s="8" t="s">
        <v>90</v>
      </c>
      <c r="I47" s="9">
        <f>SUMIF($C$6:$C$35,"Transportation: Benefits (Cert./Non Cert.)", $E$6:$E$35)</f>
        <v>0</v>
      </c>
    </row>
    <row r="48" spans="1:9" x14ac:dyDescent="0.3">
      <c r="H48" s="10" t="s">
        <v>55</v>
      </c>
      <c r="I48" s="9">
        <f>SUMIF($C$6:$C$35,"Transportation: Professional Services", $E$6:$E$35)</f>
        <v>0</v>
      </c>
    </row>
    <row r="49" spans="8:9" x14ac:dyDescent="0.3">
      <c r="H49" s="10" t="s">
        <v>56</v>
      </c>
      <c r="I49" s="9">
        <f>SUMIF($C$6:$C$35,"Transportation: Rentals", $E$6:$E$35)</f>
        <v>0</v>
      </c>
    </row>
    <row r="50" spans="8:9" x14ac:dyDescent="0.3">
      <c r="H50" s="10" t="s">
        <v>57</v>
      </c>
      <c r="I50" s="9">
        <f>SUMIF($C$6:$C$35,"Transportation: Other Purchased Services", $E$6:$E$35)</f>
        <v>0</v>
      </c>
    </row>
    <row r="51" spans="8:9" x14ac:dyDescent="0.3">
      <c r="H51" s="10" t="s">
        <v>58</v>
      </c>
      <c r="I51" s="9">
        <f>SUMIF($C$6:$C$35,"Transportation: General Supplies", $E$6:$E$35)</f>
        <v>0</v>
      </c>
    </row>
    <row r="52" spans="8:9" x14ac:dyDescent="0.3">
      <c r="H52" s="10" t="s">
        <v>59</v>
      </c>
      <c r="I52" s="9">
        <f>SUMIF($C$6:$C$35,"Transportation: Property", $E$6:$E$35)</f>
        <v>0</v>
      </c>
    </row>
    <row r="53" spans="8:9" x14ac:dyDescent="0.3">
      <c r="H53" s="10"/>
      <c r="I53" s="9"/>
    </row>
    <row r="54" spans="8:9" x14ac:dyDescent="0.3">
      <c r="H54" s="8" t="s">
        <v>91</v>
      </c>
      <c r="I54" s="9">
        <f>SUMIF($C$6:$C$35,"Community Services Operations: Salary (Cert./Non Cert.)", $E$6:$E$35)</f>
        <v>0</v>
      </c>
    </row>
    <row r="55" spans="8:9" x14ac:dyDescent="0.3">
      <c r="H55" s="8" t="s">
        <v>92</v>
      </c>
      <c r="I55" s="9">
        <f>SUMIF($C$6:$C$35,"Community Services Operations: Benefits (Cert./Non Cert.)", $E$6:$E$35)</f>
        <v>0</v>
      </c>
    </row>
    <row r="56" spans="8:9" x14ac:dyDescent="0.3">
      <c r="H56" s="10" t="s">
        <v>60</v>
      </c>
      <c r="I56" s="9">
        <f>SUMIF($C$6:$C$35,"Community Services Operations: Professional Services", $E$6:$E$35)</f>
        <v>0</v>
      </c>
    </row>
    <row r="57" spans="8:9" x14ac:dyDescent="0.3">
      <c r="H57" s="10" t="s">
        <v>61</v>
      </c>
      <c r="I57" s="9">
        <f>SUMIF($C$6:$C$35,"Community Services Operations: Rentals", $E$6:$E$35)</f>
        <v>0</v>
      </c>
    </row>
    <row r="58" spans="8:9" x14ac:dyDescent="0.3">
      <c r="H58" s="10" t="s">
        <v>62</v>
      </c>
      <c r="I58" s="9">
        <f>SUMIF($C$6:$C$35,"Community Services Operations: Other Purchased Services", $E$6:$E$35)</f>
        <v>0</v>
      </c>
    </row>
    <row r="59" spans="8:9" x14ac:dyDescent="0.3">
      <c r="H59" s="10" t="s">
        <v>63</v>
      </c>
      <c r="I59" s="9">
        <f>SUMIF($C$6:$C$35,"Community Services Operations: General Supplies", $E$6:$E$35)</f>
        <v>0</v>
      </c>
    </row>
    <row r="60" spans="8:9" x14ac:dyDescent="0.3">
      <c r="H60" s="10" t="s">
        <v>64</v>
      </c>
      <c r="I60" s="9">
        <f>SUMIF($C$6:$C$35,"Community Services Operations: Property", $E$6:$E$35)</f>
        <v>0</v>
      </c>
    </row>
    <row r="61" spans="8:9" x14ac:dyDescent="0.3">
      <c r="H61" s="10"/>
      <c r="I61" s="9"/>
    </row>
    <row r="62" spans="8:9" x14ac:dyDescent="0.3">
      <c r="H62" s="11" t="s">
        <v>65</v>
      </c>
      <c r="I62" s="9">
        <f>SUMIF($C$6:$C$35,"Indirect Cost Used", $E$6:$E$35)</f>
        <v>0</v>
      </c>
    </row>
    <row r="63" spans="8:9" x14ac:dyDescent="0.3">
      <c r="H63" s="184"/>
      <c r="I63" s="185"/>
    </row>
    <row r="64" spans="8:9" ht="18" x14ac:dyDescent="0.35">
      <c r="H64" s="12" t="s">
        <v>71</v>
      </c>
      <c r="I64" s="13">
        <f>SUM(I6:I63)</f>
        <v>0</v>
      </c>
    </row>
    <row r="73" ht="14.4" customHeight="1" x14ac:dyDescent="0.3"/>
  </sheetData>
  <sheetProtection algorithmName="SHA-512" hashValue="qWhMWsaaJcwG6951gXPcw8wD/KKzF/CoGV+FJnL+eNzhZ5jZl50CNYFtfFnTcjO2VFu2PwrfzRxP6javj2W8ig==" saltValue="jn9KCI4Lz5wVleWZW+U4/Q==" spinCount="100000" sheet="1" objects="1" scenarios="1" selectLockedCells="1"/>
  <mergeCells count="35">
    <mergeCell ref="C33:D33"/>
    <mergeCell ref="C34:D34"/>
    <mergeCell ref="C35:D35"/>
    <mergeCell ref="C37:D37"/>
    <mergeCell ref="C38:D38"/>
    <mergeCell ref="C28:D28"/>
    <mergeCell ref="C29:D29"/>
    <mergeCell ref="C30:D30"/>
    <mergeCell ref="C31:D31"/>
    <mergeCell ref="C32:D32"/>
    <mergeCell ref="C23:D23"/>
    <mergeCell ref="C24:D24"/>
    <mergeCell ref="C25:D25"/>
    <mergeCell ref="C26:D26"/>
    <mergeCell ref="C27:D27"/>
    <mergeCell ref="C18:D18"/>
    <mergeCell ref="C19:D19"/>
    <mergeCell ref="C20:D20"/>
    <mergeCell ref="C21:D21"/>
    <mergeCell ref="C22:D22"/>
    <mergeCell ref="C13:D13"/>
    <mergeCell ref="C14:D14"/>
    <mergeCell ref="C15:D15"/>
    <mergeCell ref="C16:D16"/>
    <mergeCell ref="C17:D17"/>
    <mergeCell ref="C8:D8"/>
    <mergeCell ref="C9:D9"/>
    <mergeCell ref="C10:D10"/>
    <mergeCell ref="C11:D11"/>
    <mergeCell ref="C12:D12"/>
    <mergeCell ref="A1:I1"/>
    <mergeCell ref="A2:I3"/>
    <mergeCell ref="C6:D6"/>
    <mergeCell ref="C7:D7"/>
    <mergeCell ref="C5:D5"/>
  </mergeCells>
  <conditionalFormatting sqref="H6:I63">
    <cfRule type="expression" dxfId="187" priority="29">
      <formula>MOD(ROW(),2)=0</formula>
    </cfRule>
  </conditionalFormatting>
  <conditionalFormatting sqref="E36">
    <cfRule type="expression" dxfId="186" priority="1">
      <formula>$E$36&lt;&gt;$E$37</formula>
    </cfRule>
    <cfRule type="expression" dxfId="185" priority="2">
      <formula>$E$36=$E$37</formula>
    </cfRule>
  </conditionalFormatting>
  <dataValidations count="3">
    <dataValidation type="list" allowBlank="1" showInputMessage="1" showErrorMessage="1" promptTitle="Select Budget Category" sqref="C5" xr:uid="{6908A3CA-D2BC-493F-BFB7-87E3F5C85A20}">
      <formula1>$H$6:$H$62</formula1>
    </dataValidation>
    <dataValidation type="list" allowBlank="1" showInputMessage="1" showErrorMessage="1" promptTitle="Select Budget Category" sqref="C6:C35" xr:uid="{E7824DB3-A122-4CED-B20E-CED8DD9518E1}">
      <formula1>$H$6:$H$63</formula1>
    </dataValidation>
    <dataValidation type="list" allowBlank="1" showInputMessage="1" showErrorMessage="1" sqref="B6:B35" xr:uid="{A85CC419-6F41-4FA0-9109-C534445B6D6D}">
      <formula1>"1,2,3, Indirect Cost, Admin"</formula1>
    </dataValidation>
  </dataValidations>
  <hyperlinks>
    <hyperlink ref="C4" location="'Budget Category'!A1" display="Budget Category" xr:uid="{98736716-D62A-4CCD-9F83-4EC1CE13EEF0}"/>
  </hyperlinks>
  <pageMargins left="0.7" right="0.7" top="0.75" bottom="0.75" header="0.3" footer="0.3"/>
  <pageSetup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P M D A A B Q S w M E F A A C A A g A z l a f U b o U / k i j A A A A 9 Q A A A B I A H A B D b 2 5 m a W c v U G F j a 2 F n Z S 5 4 b W w g o h g A K K A U A A A A A A A A A A A A A A A A A A A A A A A A A A A A h Y 9 B D o I w F E S v Q r q n R d R I y K c s 3 E p i Q j R u m 1 K h E T 6 G F s v d X H g k r y B G U X c u Z 9 5 b z N y v N 0 i H p v Y u q j O 6 x Y T M a E A 8 h b I t N J Y J 6 e 3 R j 0 j K Y S v k S Z T K G 2 U 0 8 W C K h F T W n m P G n H P U z W n b l S w M g h k 7 Z J t c V q o R 5 C P r / 7 K v 0 V i B U h E O + 9 c Y H t J o S V e L c R K w q Y N M 4 5 e H I 3 v S n x L W f W 3 7 T n G F / i 4 H N k V g 7 w v 8 A V B L A w Q U A A I A C A D O V p 9 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z l a f U a g p 1 O j u A A A A a w E A A B M A H A B G b 3 J t d W x h c y 9 T Z W N 0 a W 9 u M S 5 t I K I Y A C i g F A A A A A A A A A A A A A A A A A A A A A A A A A A A A G 1 Q T W u D Q B C 9 C / 6 H Y Z u D g l h t m x Y a c l p 6 y C U X A 6 W E H D Y 6 i R L d l d k R E s T / 3 l V 7 s 3 O Z 4 c 1 7 b z 4 s 5 l w Z D d m c 0 4 3 v + Z 4 t F W E B B 3 W u M X 2 F L d T I v g c u M t N R j g 7 5 u u d Y x 7 I j Q s 3 f h m 5 n Y 2 5 B 2 B / 3 q s G t + J O K 0 3 C U R r P j n K L Z 4 U n I U u n r a P 9 o U T i r i R s f S G l 7 M d R I U 3 e N H p s 2 m M d F f S 9 W 6 y Q B y 1 W L u g B H g w J b R d w 4 Z 8 h L V Z G I g J 0 G G O 8 8 R N C L d I H s t G X q p j s / I V O 1 o g c E E o n j 5 7 1 7 w V S F C 9 U P 2 g U G q 5 c o S Z L 4 Y w 2 u t 9 P 8 / h a P G w 9 D 6 H u V / v f S z S 9 Q S w E C L Q A U A A I A C A D O V p 9 R u h T + S K M A A A D 1 A A A A E g A A A A A A A A A A A A A A A A A A A A A A Q 2 9 u Z m l n L 1 B h Y 2 t h Z 2 U u e G 1 s U E s B A i 0 A F A A C A A g A z l a f U Q / K 6 a u k A A A A 6 Q A A A B M A A A A A A A A A A A A A A A A A 7 w A A A F t D b 2 5 0 Z W 5 0 X 1 R 5 c G V z X S 5 4 b W x Q S w E C L Q A U A A I A C A D O V p 9 R q C n U 6 O 4 A A A B r A Q A A E w A A A A A A A A A A A A A A A A D g A Q A A R m 9 y b X V s Y X M v U 2 V j d G l v b j E u b V B L B Q Y A A A A A A w A D A M I A A A A b 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4 C g A A A A A A A J Y K 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E z 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R h Y m x l M T N f M i I g L z 4 8 R W 5 0 c n k g V H l w Z T 0 i R m l s b G V k Q 2 9 t c G x l d G V S Z X N 1 b H R U b 1 d v c m t z a G V l d C I g V m F s d W U 9 I m w x I i A v P j x F b n R y e S B U e X B l P S J B Z G R l Z F R v R G F 0 Y U 1 v Z G V s I i B W Y W x 1 Z T 0 i b D A i I C 8 + P E V u d H J 5 I F R 5 c G U 9 I k Z p b G x D b 3 V u d C I g V m F s d W U 9 I m w z M S I g L z 4 8 R W 5 0 c n k g V H l w Z T 0 i R m l s b E V y c m 9 y Q 2 9 k Z S I g V m F s d W U 9 I n N V b m t u b 3 d u I i A v P j x F b n R y e S B U e X B l P S J G a W x s R X J y b 3 J D b 3 V u d C I g V m F s d W U 9 I m w w I i A v P j x F b n R y e S B U e X B l P S J G a W x s T G F z d F V w Z G F 0 Z W Q i I F Z h b H V l P S J k M j A y M C 0 x M i 0 z M V Q x N T o 1 N D o y O C 4 x N D c x M z k 2 W i I g L z 4 8 R W 5 0 c n k g V H l w Z T 0 i R m l s b E N v b H V t b l R 5 c G V z I i B W Y W x 1 Z T 0 i c 0 J n W U d C Z 0 0 9 I i A v P j x F b n R y e S B U e X B l P S J G a W x s Q 2 9 s d W 1 u T m F t Z X M i I F Z h b H V l P S J z W y Z x d W 9 0 O y Q 1 M D A g c 3 R p c G V u Z C B m b 3 I g Z G V w Y X J 0 b W V u d C B j a G F p c i Z x d W 9 0 O y w m c X V v d D s x J n F 1 b 3 Q 7 L C Z x d W 9 0 O 0 l u c 3 R y d W N 0 a W 9 u O i B T Y W x h c n k g K E N l c n Q u L 0 5 v b i B D Z X J 0 L i k m c X V v d D s s J n F 1 b 3 Q 7 W W V z J n F 1 b 3 Q 7 L C Z x d W 9 0 O y A k M i w w M D A u N z U g J n F 1 b 3 Q 7 X S I g L z 4 8 R W 5 0 c n k g V H l w Z T 0 i R m l s b F N 0 Y X R 1 c y I g V m F s d W U 9 I n N D b 2 1 w b G V 0 Z S I g L z 4 8 R W 5 0 c n k g V H l w Z T 0 i U m V s Y X R p b 2 5 z a G l w S W 5 m b 0 N v b n R h a W 5 l c i I g V m F s d W U 9 I n N 7 J n F 1 b 3 Q 7 Y 2 9 s d W 1 u Q 2 9 1 b n Q m c X V v d D s 6 N S w m c X V v d D t r Z X l D b 2 x 1 b W 5 O Y W 1 l c y Z x d W 9 0 O z p b X S w m c X V v d D t x d W V y e V J l b G F 0 a W 9 u c 2 h p c H M m c X V v d D s 6 W 1 0 s J n F 1 b 3 Q 7 Y 2 9 s d W 1 u S W R l b n R p d G l l c y Z x d W 9 0 O z p b J n F 1 b 3 Q 7 U 2 V j d G l v b j E v V G F i b G U x M y 9 D a G F u Z 2 V k I F R 5 c G U u e y Q 1 M D A g c 3 R p c G V u Z C B m b 3 I g Z G V w Y X J 0 b W V u d C B j a G F p c i w w f S Z x d W 9 0 O y w m c X V v d D t T Z W N 0 a W 9 u M S 9 U Y W J s Z T E z L 0 N o Y W 5 n Z W Q g V H l w Z S 5 7 M S w x f S Z x d W 9 0 O y w m c X V v d D t T Z W N 0 a W 9 u M S 9 U Y W J s Z T E z L 0 N o Y W 5 n Z W Q g V H l w Z S 5 7 S W 5 z d H J 1 Y 3 R p b 2 4 6 I F N h b G F y e S A o Q 2 V y d C 4 v T m 9 u I E N l c n Q u K S w y f S Z x d W 9 0 O y w m c X V v d D t T Z W N 0 a W 9 u M S 9 U Y W J s Z T E z L 0 N o Y W 5 n Z W Q g V H l w Z S 5 7 W W V z L D N 9 J n F 1 b 3 Q 7 L C Z x d W 9 0 O 1 N l Y 3 R p b 2 4 x L 1 R h Y m x l M T M v Q 2 h h b m d l Z C B U e X B l L n s g J D I s M D A w L j c 1 I C w 0 f S Z x d W 9 0 O 1 0 s J n F 1 b 3 Q 7 Q 2 9 s d W 1 u Q 2 9 1 b n Q m c X V v d D s 6 N S w m c X V v d D t L Z X l D b 2 x 1 b W 5 O Y W 1 l c y Z x d W 9 0 O z p b X S w m c X V v d D t D b 2 x 1 b W 5 J Z G V u d G l 0 a W V z J n F 1 b 3 Q 7 O l s m c X V v d D t T Z W N 0 a W 9 u M S 9 U Y W J s Z T E z L 0 N o Y W 5 n Z W Q g V H l w Z S 5 7 J D U w M C B z d G l w Z W 5 k I G Z v c i B k Z X B h c n R t Z W 5 0 I G N o Y W l y L D B 9 J n F 1 b 3 Q 7 L C Z x d W 9 0 O 1 N l Y 3 R p b 2 4 x L 1 R h Y m x l M T M v Q 2 h h b m d l Z C B U e X B l L n s x L D F 9 J n F 1 b 3 Q 7 L C Z x d W 9 0 O 1 N l Y 3 R p b 2 4 x L 1 R h Y m x l M T M v Q 2 h h b m d l Z C B U e X B l L n t J b n N 0 c n V j d G l v b j o g U 2 F s Y X J 5 I C h D Z X J 0 L i 9 O b 2 4 g Q 2 V y d C 4 p L D J 9 J n F 1 b 3 Q 7 L C Z x d W 9 0 O 1 N l Y 3 R p b 2 4 x L 1 R h Y m x l M T M v Q 2 h h b m d l Z C B U e X B l L n t Z Z X M s M 3 0 m c X V v d D s s J n F 1 b 3 Q 7 U 2 V j d G l v b j E v V G F i b G U x M y 9 D a G F u Z 2 V k I F R 5 c G U u e y A k M i w w M D A u N z U g L D R 9 J n F 1 b 3 Q 7 X S w m c X V v d D t S Z W x h d G l v b n N o a X B J b m Z v J n F 1 b 3 Q 7 O l t d f S I g L z 4 8 L 1 N 0 Y W J s Z U V u d H J p Z X M + P C 9 J d G V t P j x J d G V t P j x J d G V t T G 9 j Y X R p b 2 4 + P E l 0 Z W 1 U e X B l P k Z v c m 1 1 b G E 8 L 0 l 0 Z W 1 U e X B l P j x J d G V t U G F 0 a D 5 T Z W N 0 a W 9 u M S 9 U Y W J s Z T E z L 1 N v d X J j Z T w v S X R l b V B h d G g + P C 9 J d G V t T G 9 j Y X R p b 2 4 + P F N 0 Y W J s Z U V u d H J p Z X M g L z 4 8 L 0 l 0 Z W 0 + P E l 0 Z W 0 + P E l 0 Z W 1 M b 2 N h d G l v b j 4 8 S X R l b V R 5 c G U + R m 9 y b X V s Y T w v S X R l b V R 5 c G U + P E l 0 Z W 1 Q Y X R o P l N l Y 3 R p b 2 4 x L 1 R h Y m x l M T M v Q 2 h h b m d l Z C U y M F R 5 c G U 8 L 0 l 0 Z W 1 Q Y X R o P j w v S X R l b U x v Y 2 F 0 a W 9 u P j x T d G F i b G V F b n R y a W V z I C 8 + P C 9 J d G V t P j w v S X R l b X M + P C 9 M b 2 N h b F B h Y 2 t h Z 2 V N Z X R h Z G F 0 Y U Z p b G U + F g A A A F B L B Q Y A A A A A A A A A A A A A A A A A A A A A A A D a A A A A A Q A A A N C M n d 8 B F d E R j H o A w E / C l + s B A A A A E 6 g k r D e A 0 k S A v n 2 e r i 9 P t Q A A A A A C A A A A A A A D Z g A A w A A A A B A A A A A e 6 I Z x l 2 y B s V L J b v V d a Y U 7 A A A A A A S A A A C g A A A A E A A A A L M D J 2 f B b U T + b J y M N p / J U l p Q A A A A D C U Q P m X v n / 5 4 R b f 7 E 6 P x W Q r e U 8 U x w D s 5 n + w i 6 2 w q T R V 6 A 2 l N c X x r d A E Q x g S + M S A y n W w M G V R F v X F 4 f S 6 5 z z 2 1 i F / g 9 X c 3 u R 6 I q K D V n Q D j Z P c U A A A A v e a G c 5 8 y a D n X t Q R c 6 j n Y j S x S K k k = < / D a t a M a s h u p > 
</file>

<file path=customXml/itemProps1.xml><?xml version="1.0" encoding="utf-8"?>
<ds:datastoreItem xmlns:ds="http://schemas.openxmlformats.org/officeDocument/2006/customXml" ds:itemID="{BB04B302-5CF4-4493-8E78-CB2EEBDFBDD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12</vt:i4>
      </vt:variant>
    </vt:vector>
  </HeadingPairs>
  <TitlesOfParts>
    <vt:vector size="55" baseType="lpstr">
      <vt:lpstr>Overview</vt:lpstr>
      <vt:lpstr>Equitable Share</vt:lpstr>
      <vt:lpstr>CNA</vt:lpstr>
      <vt:lpstr>Evidence-Based Requirements</vt:lpstr>
      <vt:lpstr>Systems Alignment</vt:lpstr>
      <vt:lpstr>Allowable Uses of Funds</vt:lpstr>
      <vt:lpstr>Sheet1</vt:lpstr>
      <vt:lpstr>Nonpub Activities</vt:lpstr>
      <vt:lpstr>LEA Activities</vt:lpstr>
      <vt:lpstr>Main Budget</vt:lpstr>
      <vt:lpstr>Original Review</vt:lpstr>
      <vt:lpstr>Reimbursement Form</vt:lpstr>
      <vt:lpstr>Amend#1 Overview</vt:lpstr>
      <vt:lpstr>Amend#1 Equitable Share</vt:lpstr>
      <vt:lpstr>Amend#1 NPS Activities</vt:lpstr>
      <vt:lpstr>Amend#1 LEA Activities</vt:lpstr>
      <vt:lpstr>Amend#1 Main Budget</vt:lpstr>
      <vt:lpstr>Amend#1 Review</vt:lpstr>
      <vt:lpstr>Amend#1 Reimb Form</vt:lpstr>
      <vt:lpstr>Amend#2 Overview</vt:lpstr>
      <vt:lpstr>Amend#2 Equitable Share</vt:lpstr>
      <vt:lpstr>Amend#2 NPS Activities</vt:lpstr>
      <vt:lpstr>Amend#2 LEA Activities</vt:lpstr>
      <vt:lpstr>Amend#2 Main Budget</vt:lpstr>
      <vt:lpstr>Amend#2 Review</vt:lpstr>
      <vt:lpstr>Amend#2 Reimb Form</vt:lpstr>
      <vt:lpstr>Amend#3 Overview</vt:lpstr>
      <vt:lpstr>Amend#3 Equitable Share</vt:lpstr>
      <vt:lpstr>Amend#3 NPS Activities</vt:lpstr>
      <vt:lpstr>Amend#3 LEA Activities</vt:lpstr>
      <vt:lpstr>Amend#3 Main Budget</vt:lpstr>
      <vt:lpstr>Amend#3 Review</vt:lpstr>
      <vt:lpstr>Amend#3 Reimb Form</vt:lpstr>
      <vt:lpstr>Amend#4 Overview</vt:lpstr>
      <vt:lpstr>Amend#4 Equitable Share</vt:lpstr>
      <vt:lpstr>Amend#4 NPS Activities</vt:lpstr>
      <vt:lpstr>Amend#4 LEA Activities</vt:lpstr>
      <vt:lpstr>Amend#4 Main Budget</vt:lpstr>
      <vt:lpstr>Amend#4 Review</vt:lpstr>
      <vt:lpstr>Amend#4 Reimb Form</vt:lpstr>
      <vt:lpstr>Budget Category</vt:lpstr>
      <vt:lpstr>Allocations</vt:lpstr>
      <vt:lpstr>NPS</vt:lpstr>
      <vt:lpstr>Allocations</vt:lpstr>
      <vt:lpstr>allocations2021</vt:lpstr>
      <vt:lpstr>'Amend#1 LEA Activities'!BudgetCategory</vt:lpstr>
      <vt:lpstr>'Amend#2 LEA Activities'!BudgetCategory</vt:lpstr>
      <vt:lpstr>'Amend#3 LEA Activities'!BudgetCategory</vt:lpstr>
      <vt:lpstr>'Amend#4 LEA Activities'!BudgetCategory</vt:lpstr>
      <vt:lpstr>BudgetCategory</vt:lpstr>
      <vt:lpstr>'Amend#1 Reimb Form'!Print_Area</vt:lpstr>
      <vt:lpstr>'Amend#2 Reimb Form'!Print_Area</vt:lpstr>
      <vt:lpstr>'Amend#3 Reimb Form'!Print_Area</vt:lpstr>
      <vt:lpstr>'Amend#4 Reimb Form'!Print_Area</vt:lpstr>
      <vt:lpstr>'Reimbursement Form'!Print_Area</vt:lpstr>
    </vt:vector>
  </TitlesOfParts>
  <Company>State of Indiana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Maggie Rowlands</dc:creator>
  <cp:lastModifiedBy>Chiki, Frank</cp:lastModifiedBy>
  <cp:lastPrinted>2021-03-19T15:54:03Z</cp:lastPrinted>
  <dcterms:created xsi:type="dcterms:W3CDTF">2017-07-05T20:31:33Z</dcterms:created>
  <dcterms:modified xsi:type="dcterms:W3CDTF">2021-10-27T18:00:09Z</dcterms:modified>
</cp:coreProperties>
</file>